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GA DOC\RGF TJE - UTILIZADO\ANO 2022\1º QUADRIMESTRE DE 2022\"/>
    </mc:Choice>
  </mc:AlternateContent>
  <bookViews>
    <workbookView xWindow="-120" yWindow="-120" windowWidth="20730" windowHeight="11160" tabRatio="602"/>
  </bookViews>
  <sheets>
    <sheet name="1º QUA 2022 - TJ" sheetId="54" r:id="rId1"/>
    <sheet name="1º QUA 2022 - BASE ABERT TJ" sheetId="53" state="hidden" r:id="rId2"/>
  </sheets>
  <definedNames>
    <definedName name="_xlnm.Print_Area" localSheetId="1">'1º QUA 2022 - BASE ABERT TJ'!$A$1:$O$67</definedName>
    <definedName name="_xlnm.Print_Area" localSheetId="0">'1º QUA 2022 - TJ'!$A$1:$P$42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54" l="1"/>
  <c r="E13" i="54"/>
  <c r="F13" i="54"/>
  <c r="G13" i="54"/>
  <c r="H13" i="54"/>
  <c r="I13" i="54"/>
  <c r="J13" i="54"/>
  <c r="K13" i="54"/>
  <c r="L13" i="54"/>
  <c r="M13" i="54"/>
  <c r="N13" i="54"/>
  <c r="C13" i="54"/>
  <c r="O19" i="54"/>
  <c r="E19" i="54"/>
  <c r="F19" i="54"/>
  <c r="G19" i="54"/>
  <c r="H19" i="54"/>
  <c r="I19" i="54"/>
  <c r="J19" i="54"/>
  <c r="K19" i="54"/>
  <c r="L19" i="54"/>
  <c r="M19" i="54"/>
  <c r="N19" i="54"/>
  <c r="D19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L49" i="53"/>
  <c r="N36" i="53"/>
  <c r="M36" i="53"/>
  <c r="L36" i="53"/>
  <c r="K36" i="53"/>
  <c r="O41" i="53" l="1"/>
  <c r="O42" i="53"/>
  <c r="N59" i="53" l="1"/>
  <c r="N52" i="53"/>
  <c r="M59" i="53"/>
  <c r="M52" i="53"/>
  <c r="L59" i="53"/>
  <c r="L52" i="53"/>
  <c r="K59" i="53"/>
  <c r="K52" i="53"/>
  <c r="J24" i="54" l="1"/>
  <c r="I24" i="54"/>
  <c r="H24" i="54"/>
  <c r="G24" i="54"/>
  <c r="F24" i="54"/>
  <c r="E24" i="54"/>
  <c r="D24" i="54"/>
  <c r="C24" i="54"/>
  <c r="J23" i="54"/>
  <c r="I23" i="54"/>
  <c r="H23" i="54"/>
  <c r="G23" i="54"/>
  <c r="F23" i="54"/>
  <c r="E23" i="54"/>
  <c r="D23" i="54"/>
  <c r="C23" i="54"/>
  <c r="J22" i="54"/>
  <c r="I22" i="54"/>
  <c r="H22" i="54"/>
  <c r="G22" i="54"/>
  <c r="F22" i="54"/>
  <c r="E22" i="54"/>
  <c r="D22" i="54"/>
  <c r="C22" i="54"/>
  <c r="J21" i="54"/>
  <c r="I21" i="54"/>
  <c r="H21" i="54"/>
  <c r="G21" i="54"/>
  <c r="F21" i="54"/>
  <c r="E21" i="54"/>
  <c r="D21" i="54"/>
  <c r="C21" i="54"/>
  <c r="J20" i="54"/>
  <c r="I20" i="54"/>
  <c r="H20" i="54"/>
  <c r="G20" i="54"/>
  <c r="F20" i="54"/>
  <c r="E20" i="54"/>
  <c r="D20" i="54"/>
  <c r="C20" i="54"/>
  <c r="C19" i="54"/>
  <c r="J17" i="54"/>
  <c r="I17" i="54"/>
  <c r="H17" i="54"/>
  <c r="G17" i="54"/>
  <c r="F17" i="54"/>
  <c r="E17" i="54"/>
  <c r="D17" i="54"/>
  <c r="C17" i="54"/>
  <c r="J16" i="54"/>
  <c r="I16" i="54"/>
  <c r="H16" i="54"/>
  <c r="G16" i="54"/>
  <c r="F16" i="54"/>
  <c r="E16" i="54"/>
  <c r="D16" i="54"/>
  <c r="C16" i="54"/>
  <c r="J15" i="54"/>
  <c r="I15" i="54"/>
  <c r="H15" i="54"/>
  <c r="G15" i="54"/>
  <c r="F15" i="54"/>
  <c r="E15" i="54"/>
  <c r="D15" i="54"/>
  <c r="C15" i="54"/>
  <c r="J14" i="54"/>
  <c r="I14" i="54"/>
  <c r="H14" i="54"/>
  <c r="G14" i="54"/>
  <c r="F14" i="54"/>
  <c r="E14" i="54"/>
  <c r="D14" i="54"/>
  <c r="C14" i="54"/>
  <c r="J12" i="54"/>
  <c r="I12" i="54"/>
  <c r="H12" i="54"/>
  <c r="G12" i="54"/>
  <c r="F12" i="54"/>
  <c r="F11" i="54" s="1"/>
  <c r="E12" i="54"/>
  <c r="E11" i="54" s="1"/>
  <c r="D12" i="54"/>
  <c r="C12" i="54"/>
  <c r="C11" i="54" s="1"/>
  <c r="J11" i="54"/>
  <c r="I11" i="54"/>
  <c r="H11" i="54"/>
  <c r="H25" i="54" s="1"/>
  <c r="J25" i="54" l="1"/>
  <c r="F25" i="54"/>
  <c r="I25" i="54"/>
  <c r="E25" i="54"/>
  <c r="C25" i="54"/>
  <c r="G11" i="54"/>
  <c r="G25" i="54" s="1"/>
  <c r="J65" i="53"/>
  <c r="I65" i="53"/>
  <c r="H65" i="53"/>
  <c r="G65" i="53"/>
  <c r="F65" i="53"/>
  <c r="E65" i="53"/>
  <c r="D65" i="53"/>
  <c r="C65" i="53"/>
  <c r="J59" i="53"/>
  <c r="I59" i="53"/>
  <c r="H59" i="53"/>
  <c r="G59" i="53"/>
  <c r="F59" i="53"/>
  <c r="E59" i="53"/>
  <c r="D52" i="53"/>
  <c r="C52" i="53"/>
  <c r="D51" i="53"/>
  <c r="C51" i="53"/>
  <c r="J49" i="53"/>
  <c r="I49" i="53"/>
  <c r="H49" i="53"/>
  <c r="G49" i="53"/>
  <c r="F49" i="53"/>
  <c r="E49" i="53"/>
  <c r="D49" i="53"/>
  <c r="C49" i="53"/>
  <c r="J47" i="53"/>
  <c r="I47" i="53"/>
  <c r="H47" i="53"/>
  <c r="G47" i="53"/>
  <c r="F47" i="53"/>
  <c r="E47" i="53"/>
  <c r="D47" i="53"/>
  <c r="C47" i="53"/>
  <c r="D44" i="53"/>
  <c r="C44" i="53"/>
  <c r="J41" i="53"/>
  <c r="I41" i="53"/>
  <c r="H41" i="53"/>
  <c r="G41" i="53"/>
  <c r="F41" i="53"/>
  <c r="E41" i="53"/>
  <c r="D41" i="53"/>
  <c r="D12" i="53" s="1"/>
  <c r="D61" i="53" s="1"/>
  <c r="C41" i="53"/>
  <c r="J36" i="53"/>
  <c r="J52" i="53" s="1"/>
  <c r="J51" i="53" s="1"/>
  <c r="J44" i="53" s="1"/>
  <c r="I36" i="53"/>
  <c r="I35" i="53" s="1"/>
  <c r="I30" i="53" s="1"/>
  <c r="I12" i="53" s="1"/>
  <c r="H36" i="53"/>
  <c r="H35" i="53" s="1"/>
  <c r="H30" i="53" s="1"/>
  <c r="H12" i="53" s="1"/>
  <c r="G36" i="53"/>
  <c r="G52" i="53" s="1"/>
  <c r="G51" i="53" s="1"/>
  <c r="G44" i="53" s="1"/>
  <c r="F36" i="53"/>
  <c r="F52" i="53" s="1"/>
  <c r="F51" i="53" s="1"/>
  <c r="F44" i="53" s="1"/>
  <c r="E36" i="53"/>
  <c r="E35" i="53" s="1"/>
  <c r="E30" i="53" s="1"/>
  <c r="E12" i="53" s="1"/>
  <c r="J35" i="53"/>
  <c r="G35" i="53"/>
  <c r="F35" i="53"/>
  <c r="D35" i="53"/>
  <c r="C35" i="53"/>
  <c r="J31" i="53"/>
  <c r="I31" i="53"/>
  <c r="H31" i="53"/>
  <c r="G31" i="53"/>
  <c r="F31" i="53"/>
  <c r="E31" i="53"/>
  <c r="D31" i="53"/>
  <c r="C31" i="53"/>
  <c r="J30" i="53"/>
  <c r="G30" i="53"/>
  <c r="F30" i="53"/>
  <c r="D30" i="53"/>
  <c r="C30" i="53"/>
  <c r="J24" i="53"/>
  <c r="I24" i="53"/>
  <c r="H24" i="53"/>
  <c r="G24" i="53"/>
  <c r="F24" i="53"/>
  <c r="E24" i="53"/>
  <c r="D24" i="53"/>
  <c r="C24" i="53"/>
  <c r="J14" i="53"/>
  <c r="I14" i="53"/>
  <c r="H14" i="53"/>
  <c r="G14" i="53"/>
  <c r="F14" i="53"/>
  <c r="E14" i="53"/>
  <c r="D14" i="53"/>
  <c r="C14" i="53"/>
  <c r="J13" i="53"/>
  <c r="I13" i="53"/>
  <c r="H13" i="53"/>
  <c r="G13" i="53"/>
  <c r="F13" i="53"/>
  <c r="E13" i="53"/>
  <c r="D13" i="53"/>
  <c r="C13" i="53"/>
  <c r="J12" i="53"/>
  <c r="J61" i="53" s="1"/>
  <c r="G12" i="53"/>
  <c r="G61" i="53" s="1"/>
  <c r="F12" i="53"/>
  <c r="C12" i="53"/>
  <c r="C61" i="53" s="1"/>
  <c r="J67" i="53" l="1"/>
  <c r="J66" i="53"/>
  <c r="C67" i="53"/>
  <c r="C66" i="53"/>
  <c r="F61" i="53"/>
  <c r="D67" i="53"/>
  <c r="D66" i="53"/>
  <c r="G67" i="53"/>
  <c r="G66" i="53"/>
  <c r="I61" i="53"/>
  <c r="H52" i="53"/>
  <c r="H51" i="53" s="1"/>
  <c r="H44" i="53" s="1"/>
  <c r="H61" i="53" s="1"/>
  <c r="E52" i="53"/>
  <c r="E51" i="53" s="1"/>
  <c r="E44" i="53" s="1"/>
  <c r="E61" i="53" s="1"/>
  <c r="I52" i="53"/>
  <c r="I51" i="53" s="1"/>
  <c r="I44" i="53" s="1"/>
  <c r="E67" i="53" l="1"/>
  <c r="E66" i="53"/>
  <c r="H67" i="53"/>
  <c r="H66" i="53"/>
  <c r="F67" i="53"/>
  <c r="F66" i="53"/>
  <c r="I67" i="53"/>
  <c r="I66" i="53"/>
  <c r="K49" i="53"/>
  <c r="M49" i="53"/>
  <c r="N49" i="53"/>
  <c r="O22" i="53"/>
  <c r="O20" i="53"/>
  <c r="O49" i="53" l="1"/>
  <c r="O64" i="53" l="1"/>
  <c r="O18" i="54"/>
  <c r="O43" i="53"/>
  <c r="K65" i="53" l="1"/>
  <c r="L65" i="53"/>
  <c r="M65" i="53"/>
  <c r="N65" i="53"/>
  <c r="C30" i="54"/>
  <c r="K21" i="54" l="1"/>
  <c r="L21" i="54"/>
  <c r="M21" i="54"/>
  <c r="N21" i="54"/>
  <c r="K14" i="53" l="1"/>
  <c r="K24" i="53"/>
  <c r="K14" i="54" s="1"/>
  <c r="K31" i="53"/>
  <c r="K16" i="54" s="1"/>
  <c r="K35" i="53"/>
  <c r="K17" i="54" s="1"/>
  <c r="K41" i="53"/>
  <c r="K47" i="53"/>
  <c r="K22" i="54" s="1"/>
  <c r="K23" i="54"/>
  <c r="K51" i="53"/>
  <c r="K24" i="54" s="1"/>
  <c r="K15" i="54" l="1"/>
  <c r="K20" i="54"/>
  <c r="K13" i="53"/>
  <c r="K12" i="54"/>
  <c r="K30" i="53"/>
  <c r="K44" i="53"/>
  <c r="O45" i="53"/>
  <c r="O36" i="53"/>
  <c r="O34" i="53"/>
  <c r="O33" i="53"/>
  <c r="O32" i="53"/>
  <c r="O29" i="53"/>
  <c r="O28" i="53"/>
  <c r="O27" i="53"/>
  <c r="O25" i="53"/>
  <c r="O19" i="53"/>
  <c r="O18" i="53"/>
  <c r="O17" i="53"/>
  <c r="O16" i="53"/>
  <c r="O15" i="53"/>
  <c r="K11" i="54" l="1"/>
  <c r="K25" i="54" s="1"/>
  <c r="K12" i="53"/>
  <c r="K61" i="53" s="1"/>
  <c r="K66" i="53" l="1"/>
  <c r="K67" i="53"/>
  <c r="O59" i="53"/>
  <c r="O63" i="53" l="1"/>
  <c r="C29" i="54" s="1"/>
  <c r="O65" i="53" l="1"/>
  <c r="C31" i="54" s="1"/>
  <c r="N31" i="53"/>
  <c r="N16" i="54" s="1"/>
  <c r="C33" i="54" l="1"/>
  <c r="C35" i="54"/>
  <c r="C34" i="54"/>
  <c r="O62" i="53"/>
  <c r="C28" i="54" l="1"/>
  <c r="M51" i="53" l="1"/>
  <c r="M24" i="54" s="1"/>
  <c r="L51" i="53"/>
  <c r="L24" i="54" s="1"/>
  <c r="N51" i="53"/>
  <c r="N24" i="54" s="1"/>
  <c r="L23" i="54" l="1"/>
  <c r="M23" i="54"/>
  <c r="N23" i="54"/>
  <c r="L47" i="53"/>
  <c r="L22" i="54" s="1"/>
  <c r="M47" i="53"/>
  <c r="M22" i="54" s="1"/>
  <c r="N47" i="53"/>
  <c r="N22" i="54" s="1"/>
  <c r="L41" i="53"/>
  <c r="D11" i="54" s="1"/>
  <c r="D25" i="54" s="1"/>
  <c r="M41" i="53"/>
  <c r="N41" i="53"/>
  <c r="L35" i="53"/>
  <c r="L17" i="54" s="1"/>
  <c r="M35" i="53"/>
  <c r="M17" i="54" s="1"/>
  <c r="N35" i="53"/>
  <c r="N17" i="54" s="1"/>
  <c r="N15" i="54" s="1"/>
  <c r="L31" i="53"/>
  <c r="L16" i="54" s="1"/>
  <c r="M31" i="53"/>
  <c r="M16" i="54" s="1"/>
  <c r="L24" i="53"/>
  <c r="L14" i="54" s="1"/>
  <c r="M24" i="53"/>
  <c r="M14" i="54" s="1"/>
  <c r="N24" i="53"/>
  <c r="N14" i="54" s="1"/>
  <c r="L14" i="53"/>
  <c r="M14" i="53"/>
  <c r="N14" i="53"/>
  <c r="O38" i="53"/>
  <c r="O39" i="53"/>
  <c r="O40" i="53"/>
  <c r="O37" i="53"/>
  <c r="O26" i="53"/>
  <c r="O21" i="53"/>
  <c r="O23" i="53"/>
  <c r="L15" i="54" l="1"/>
  <c r="M15" i="54"/>
  <c r="M12" i="54"/>
  <c r="L12" i="54"/>
  <c r="N12" i="54"/>
  <c r="N11" i="54" s="1"/>
  <c r="M20" i="54"/>
  <c r="L20" i="54"/>
  <c r="N20" i="54"/>
  <c r="L44" i="53"/>
  <c r="N44" i="53"/>
  <c r="M44" i="53"/>
  <c r="N13" i="53"/>
  <c r="L13" i="53"/>
  <c r="N30" i="53"/>
  <c r="L30" i="53"/>
  <c r="L12" i="53" s="1"/>
  <c r="M30" i="53"/>
  <c r="M13" i="53"/>
  <c r="O21" i="54"/>
  <c r="L61" i="53" l="1"/>
  <c r="L11" i="54"/>
  <c r="L25" i="54" s="1"/>
  <c r="M12" i="53"/>
  <c r="M61" i="53" s="1"/>
  <c r="N25" i="54"/>
  <c r="M11" i="54"/>
  <c r="M25" i="54" s="1"/>
  <c r="N12" i="53"/>
  <c r="N61" i="53" s="1"/>
  <c r="L66" i="53" l="1"/>
  <c r="L67" i="53"/>
  <c r="M67" i="53"/>
  <c r="M66" i="53"/>
  <c r="N67" i="53"/>
  <c r="N66" i="53"/>
  <c r="O23" i="54"/>
  <c r="O17" i="54"/>
  <c r="O16" i="54"/>
  <c r="O66" i="53" l="1"/>
  <c r="O15" i="54"/>
  <c r="O52" i="53"/>
  <c r="O22" i="54"/>
  <c r="O47" i="53"/>
  <c r="O14" i="54"/>
  <c r="O13" i="54"/>
  <c r="O12" i="54" l="1"/>
  <c r="O11" i="54" s="1"/>
  <c r="O24" i="54"/>
  <c r="P61" i="53" l="1"/>
  <c r="O35" i="53" l="1"/>
  <c r="O24" i="53"/>
  <c r="O31" i="53" l="1"/>
  <c r="O51" i="53"/>
  <c r="O30" i="53" l="1"/>
  <c r="O14" i="53"/>
  <c r="O44" i="53"/>
  <c r="O13" i="53" l="1"/>
  <c r="O12" i="53" s="1"/>
  <c r="O61" i="53" s="1"/>
  <c r="O20" i="54"/>
  <c r="O25" i="54" s="1"/>
  <c r="J32" i="54" s="1"/>
  <c r="O67" i="53" l="1"/>
  <c r="C32" i="54"/>
</calcChain>
</file>

<file path=xl/sharedStrings.xml><?xml version="1.0" encoding="utf-8"?>
<sst xmlns="http://schemas.openxmlformats.org/spreadsheetml/2006/main" count="151" uniqueCount="139">
  <si>
    <t xml:space="preserve">Obrigações Patronais </t>
  </si>
  <si>
    <t>%</t>
  </si>
  <si>
    <t>PODER JUDICIÁRIO</t>
  </si>
  <si>
    <t>RELATÓRIO DE GESTÃO FISCAL</t>
  </si>
  <si>
    <t>APURAÇÃO DO CUMPRIMENTO DO LIMITE LEGAL</t>
  </si>
  <si>
    <t>Receita  Arrecadada - FINANPREV</t>
  </si>
  <si>
    <t>Receita  Arrecadada - FUNPREV</t>
  </si>
  <si>
    <t>REPASSE - DETACONTA 61213000</t>
  </si>
  <si>
    <t xml:space="preserve"> </t>
  </si>
  <si>
    <t>O.Desp.de Pess.Decor.de Contr.deTercei.</t>
  </si>
  <si>
    <t>31.90.11</t>
  </si>
  <si>
    <t>31.90.92</t>
  </si>
  <si>
    <t>31.91.96</t>
  </si>
  <si>
    <t>31.90.01</t>
  </si>
  <si>
    <t>31.91.13.83</t>
  </si>
  <si>
    <t>31.91.13.85</t>
  </si>
  <si>
    <t>DEMONSTRATIVO DE DESPESA COM PESSOAL</t>
  </si>
  <si>
    <t>ORÇAMENTOS FISCAL E DA SEGURIDADE SOCIAL</t>
  </si>
  <si>
    <t>RGF - ANEXO I   ( LRF art 55, inciso I, alinea "a" )</t>
  </si>
  <si>
    <t>INSCRITAS EM RESTOS APAGAR NÃO PROCESSADOS</t>
  </si>
  <si>
    <t>DESPESAS COM PESSOAL</t>
  </si>
  <si>
    <t>DESPESA BRUTA COM PESSOAL (I)</t>
  </si>
  <si>
    <t>Vencimentos, Vantagens e Outras Despesas Variáveis</t>
  </si>
  <si>
    <t>Aposentadorias, Reservas e Reformas</t>
  </si>
  <si>
    <t>Pensões</t>
  </si>
  <si>
    <t>Vencimentos Vantagens e Outras Despesas Variáveis</t>
  </si>
  <si>
    <t>Obrigações Patronais</t>
  </si>
  <si>
    <t>Vencimentos e Vantagens - Siafem</t>
  </si>
  <si>
    <t>Out.Desp.Var.- P.Civil - Siafem</t>
  </si>
  <si>
    <t>Venc. - 0101 - Siafem</t>
  </si>
  <si>
    <t>Pensões   -  227 ( IGEPREV )</t>
  </si>
  <si>
    <t>4 - Inativos e Pensionistas com Rec. Vinculados</t>
  </si>
  <si>
    <t>DESPESAS NÃO COMPUTADAS II (§ 1º do art. 19 da LRF)</t>
  </si>
  <si>
    <t>3 - Outras despesas de pessoal decorrentes de contrato de terceirização (§ 1º do art. 18 da LRF)</t>
  </si>
  <si>
    <t xml:space="preserve"> REC. CORRENTE LÍQUIDA  - RCL  (IV)</t>
  </si>
  <si>
    <t xml:space="preserve">LIMITE PRUDENCIAL  (IX) = (0,95 x VIII)  ( parágrafo único do art.22 da LRF) </t>
  </si>
  <si>
    <t>Vencimento - BO</t>
  </si>
  <si>
    <t>% SOBRE   A RCL  AJUSTADA</t>
  </si>
  <si>
    <t>PESSOAL ATIVO</t>
  </si>
  <si>
    <t>PESSOAL INATIVO E PENSIONISTAS</t>
  </si>
  <si>
    <t xml:space="preserve">Indenizações por Demissão e Incentivos a Demissão Voluntária  </t>
  </si>
  <si>
    <t>Inativos e Pensionistas com Rec. Vinculados</t>
  </si>
  <si>
    <t>Despesa Líquida Com Pessoal (III) = (I - II)</t>
  </si>
  <si>
    <t xml:space="preserve">LIMITE MÁXIMO (VIII)  (incisos I, II e III do art. 20 da LRF) </t>
  </si>
  <si>
    <t xml:space="preserve">LIMITE DE ALERTA (X)  = (0,90 x VIII)  (inciso II do § 1º do art.59 da LRF) </t>
  </si>
  <si>
    <t>DESPESAS NÃO COMPUTADAS II   (§ 1º do art. 19 da LRF)</t>
  </si>
  <si>
    <t>31.90.92.11</t>
  </si>
  <si>
    <t>DEA-Vencimentos e Vantagens</t>
  </si>
  <si>
    <t>31.90.16.00</t>
  </si>
  <si>
    <t>31.90.92.16</t>
  </si>
  <si>
    <t>DEA-Outras Desp. Variáveis-Pessoal Civil</t>
  </si>
  <si>
    <t>31.90.92.94</t>
  </si>
  <si>
    <t>DEA-Indenizações Trabalhistas</t>
  </si>
  <si>
    <t>31.91.92.96</t>
  </si>
  <si>
    <t>DEA -Ressarcimento de Desp. Pessoal Requisitado</t>
  </si>
  <si>
    <t>31.90.92.01</t>
  </si>
  <si>
    <t xml:space="preserve"> DEA - Aposentadorias</t>
  </si>
  <si>
    <t>Sent.Jud.Trans.Julg.-Inativo Militar/Civil-BO</t>
  </si>
  <si>
    <t>31.90.91.06</t>
  </si>
  <si>
    <t>Sent.Jud.-Sentenças Jud. De Pequeno Valor-BO</t>
  </si>
  <si>
    <t>31.90.92.91</t>
  </si>
  <si>
    <t>DEA- Sentenças Judiciais - BO</t>
  </si>
  <si>
    <t>31.90.03.00</t>
  </si>
  <si>
    <t>31.90.91.38</t>
  </si>
  <si>
    <t>Sent. Jud. Não Trans. Julg.-Pensionista civil- BO</t>
  </si>
  <si>
    <t xml:space="preserve">Ressarcimento de Des. de Pessoal  Requisitado </t>
  </si>
  <si>
    <t>DEA - PENSIONISTAS - RELATÓRIO IGEPREV - BO</t>
  </si>
  <si>
    <t>Obrig. Pat. Intra-Gov.  SIAFEM (Pensionista)</t>
  </si>
  <si>
    <t>Obrig. Patronal Intra-Gov. -  SIAFEM (Ativo)</t>
  </si>
  <si>
    <t>31.90.92.13</t>
  </si>
  <si>
    <t>31.90.13.00</t>
  </si>
  <si>
    <t>DEA-Obrigações Patronais</t>
  </si>
  <si>
    <t>31.91.13.81</t>
  </si>
  <si>
    <t xml:space="preserve"> Obrig. Pat.Intra-Gover. -  SIAFEM (Inativo)</t>
  </si>
  <si>
    <t>TOTAL   (ÚLTIMOS 12 MESES)</t>
  </si>
  <si>
    <t>1 - PESSOAL ATIVO</t>
  </si>
  <si>
    <t>2 - PESSOAL INATIVO E PENSIONISTAS</t>
  </si>
  <si>
    <t>7 - DESPESA LÍQUIDA COM PESSOAL (III)=(I-II)</t>
  </si>
  <si>
    <t>TOTAL ( ÚLTIMOS 12 MESES)                           (a)</t>
  </si>
  <si>
    <t>Presidente</t>
  </si>
  <si>
    <t>VALOR</t>
  </si>
  <si>
    <r>
      <t xml:space="preserve">b1 - SEGURADO - RELATÓRIO IGEPREV - </t>
    </r>
    <r>
      <rPr>
        <b/>
        <u/>
        <sz val="12"/>
        <color rgb="FFC00000"/>
        <rFont val="Arial Narrow"/>
        <family val="2"/>
      </rPr>
      <t>0254</t>
    </r>
  </si>
  <si>
    <r>
      <t xml:space="preserve">b2 - PATRONAL  RELATÓRIO BO - </t>
    </r>
    <r>
      <rPr>
        <b/>
        <u/>
        <sz val="12"/>
        <color rgb="FFC00000"/>
        <rFont val="Arial"/>
        <family val="2"/>
      </rPr>
      <t>0258</t>
    </r>
  </si>
  <si>
    <t xml:space="preserve">                                      LIQUIDADAS</t>
  </si>
  <si>
    <t xml:space="preserve">                   DESPESAS EXECUTADAS</t>
  </si>
  <si>
    <t xml:space="preserve">                      ÚLTIMOS 12 MESES</t>
  </si>
  <si>
    <t>INSCRITAS EM RESTOS A PAGAR NÃO PROCESSADOS (b)</t>
  </si>
  <si>
    <t>Outras despesas de pessoal decorrentes de contrato de terceirização ou de Contratação de Forma Indireta  (§ 1º do art. 18 da LRF)</t>
  </si>
  <si>
    <t>CÉLIA REGINA DE LIMA PINHEIRO</t>
  </si>
  <si>
    <t>MIGUEL LUCIVALDO ALVES SANTOS</t>
  </si>
  <si>
    <t>Secretário de Planejamento, Coordenação e Finanças</t>
  </si>
  <si>
    <t>TIAGO SILVA GUIMARÃES</t>
  </si>
  <si>
    <t>Secretário de Controle Interno</t>
  </si>
  <si>
    <t>MAI/21</t>
  </si>
  <si>
    <t>Mai/21</t>
  </si>
  <si>
    <t>Jun/21</t>
  </si>
  <si>
    <t>Jul/21</t>
  </si>
  <si>
    <t>Ago/21</t>
  </si>
  <si>
    <t>JUN/21</t>
  </si>
  <si>
    <t>JUL/21</t>
  </si>
  <si>
    <t>AGO/21</t>
  </si>
  <si>
    <t xml:space="preserve"> Decorrentes de Decicisão Judicial de Periodo Anterior ao da Apuração</t>
  </si>
  <si>
    <t xml:space="preserve"> Despesas de Exercícios Anteriores de Periodo Anterior ao da Apuração</t>
  </si>
  <si>
    <t>Despesa com Pessoal nâo Executada Orçamentariamente</t>
  </si>
  <si>
    <t>( - ) Transferência obrigatória da União relativa às emendas de bancada  (art. 166-A, § 16, da CF) (VI)</t>
  </si>
  <si>
    <r>
      <t>(-) Transferências obrigatórias da União relativas às ememdas de bancadas (art. 166-A,</t>
    </r>
    <r>
      <rPr>
        <b/>
        <sz val="12"/>
        <color indexed="17"/>
        <rFont val="Calibri"/>
        <family val="2"/>
      </rPr>
      <t>§</t>
    </r>
    <r>
      <rPr>
        <b/>
        <sz val="8.4"/>
        <color indexed="17"/>
        <rFont val="Arial"/>
        <family val="2"/>
      </rPr>
      <t xml:space="preserve"> 16, da CF) (VI)</t>
    </r>
  </si>
  <si>
    <t xml:space="preserve"> REC. CORRENTE LÍQUIDA AJUSTADA PARA CÁLCULO DOS LIMITES DE ENDIVIDAMENTO (VII)=(IV- V- VI)</t>
  </si>
  <si>
    <t>DESPESA TOTAL COM PESSOAL - DTP (VIII) = (III a + III b)</t>
  </si>
  <si>
    <t xml:space="preserve"> REC. CORRENTE LÍQUIDA - RCL (IV)</t>
  </si>
  <si>
    <r>
      <t>(-) Transferências obrigatórias da União relativas às ememdas individuais (art. 166-A,</t>
    </r>
    <r>
      <rPr>
        <b/>
        <sz val="12"/>
        <color indexed="17"/>
        <rFont val="Calibri"/>
        <family val="2"/>
      </rPr>
      <t>§</t>
    </r>
    <r>
      <rPr>
        <b/>
        <sz val="8.4"/>
        <color indexed="17"/>
        <rFont val="Arial"/>
        <family val="2"/>
      </rPr>
      <t xml:space="preserve"> 1º, da CF) (V)</t>
    </r>
  </si>
  <si>
    <t>RECEITA CORRENTE LÍQUIDA AJUSTADA PARA CÁLCULO DOS LÍMITES DA DESPESA COM PESSOAL (VII)=(IV- V- VI)</t>
  </si>
  <si>
    <t>DESPESA TOTAL COM PESSOAL - DTP (VII) = (IIIa +  III b)</t>
  </si>
  <si>
    <t>4 - Despesa com Pessoal nâo Executada Orçamentariamente</t>
  </si>
  <si>
    <t>( - ) Transferência obrigatória da União relativa às emendas individuais  (art. 166-A, § 1º, da CF) (V)</t>
  </si>
  <si>
    <t>Set/21</t>
  </si>
  <si>
    <t>Out/21</t>
  </si>
  <si>
    <t>Nov/21</t>
  </si>
  <si>
    <t>Dez/21</t>
  </si>
  <si>
    <t>SET/21</t>
  </si>
  <si>
    <t>OUT/21</t>
  </si>
  <si>
    <t>NOV/21</t>
  </si>
  <si>
    <t>DEZ/21</t>
  </si>
  <si>
    <t>31.90.92.96</t>
  </si>
  <si>
    <t>31.90.96</t>
  </si>
  <si>
    <t>Jan/22</t>
  </si>
  <si>
    <t>Fev/22</t>
  </si>
  <si>
    <t>Mar/22</t>
  </si>
  <si>
    <t>Abr/22</t>
  </si>
  <si>
    <t>MAIO DE 2021 A ABRIL DE 2022</t>
  </si>
  <si>
    <t>JAN/22</t>
  </si>
  <si>
    <t>FEV/22</t>
  </si>
  <si>
    <t>MAR/22</t>
  </si>
  <si>
    <t>ABR/22</t>
  </si>
  <si>
    <t>1 - Indenizações por Demissão e Incentivos a Demissão Voluntária  94</t>
  </si>
  <si>
    <t>2 - Decorrentes de Decicisão Judicial de periodo anterior ao da apuração 91</t>
  </si>
  <si>
    <t>3 - Despesas de Exercícios Anteriores de periodo anterior ao da apuração 92</t>
  </si>
  <si>
    <t>33.90.92.34</t>
  </si>
  <si>
    <t>31.90.91.34/35/41</t>
  </si>
  <si>
    <r>
      <rPr>
        <b/>
        <sz val="9.5"/>
        <rFont val="Arial"/>
        <family val="2"/>
      </rPr>
      <t>FONTE</t>
    </r>
    <r>
      <rPr>
        <sz val="9.5"/>
        <rFont val="Arial"/>
        <family val="2"/>
      </rPr>
      <t xml:space="preserve"> Sistema SIAFEM. Unidades Responsáveis TJE, Data da emissão 10/05/2022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</si>
</sst>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0.00000"/>
  </numFmts>
  <fonts count="107" x14ac:knownFonts="1">
    <font>
      <sz val="10"/>
      <name val="Arial"/>
      <family val="2"/>
    </font>
    <font>
      <sz val="10"/>
      <color indexed="20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b/>
      <sz val="11"/>
      <name val="Arial Narrow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8" tint="-0.249977111117893"/>
      <name val="Arial"/>
      <family val="2"/>
    </font>
    <font>
      <b/>
      <sz val="16"/>
      <color rgb="FFC00000"/>
      <name val="Arial Narrow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color rgb="FF192DE7"/>
      <name val="Arial"/>
      <family val="2"/>
    </font>
    <font>
      <sz val="14"/>
      <name val="Arial Narrow"/>
      <family val="2"/>
    </font>
    <font>
      <b/>
      <u/>
      <sz val="16"/>
      <color rgb="FF192DE7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sz val="14"/>
      <name val="Arial Black"/>
      <family val="2"/>
    </font>
    <font>
      <b/>
      <sz val="14"/>
      <name val="Bodoni MT Black"/>
      <family val="1"/>
    </font>
    <font>
      <sz val="14"/>
      <name val="Bodoni MT Black"/>
      <family val="1"/>
    </font>
    <font>
      <b/>
      <u/>
      <sz val="12"/>
      <color indexed="8"/>
      <name val="Arial Black"/>
      <family val="2"/>
    </font>
    <font>
      <u/>
      <sz val="12"/>
      <name val="Arial Black"/>
      <family val="2"/>
    </font>
    <font>
      <b/>
      <sz val="14"/>
      <color indexed="20"/>
      <name val="Arial Black"/>
      <family val="2"/>
    </font>
    <font>
      <sz val="11"/>
      <name val="Arial Rounded MT Bold"/>
      <family val="2"/>
    </font>
    <font>
      <b/>
      <sz val="18"/>
      <name val="Bodoni MT"/>
      <family val="1"/>
    </font>
    <font>
      <sz val="18"/>
      <name val="Bodoni MT"/>
      <family val="1"/>
    </font>
    <font>
      <b/>
      <sz val="12"/>
      <color indexed="8"/>
      <name val="Arial Black"/>
      <family val="2"/>
    </font>
    <font>
      <b/>
      <sz val="15"/>
      <name val="Arial Black"/>
      <family val="2"/>
    </font>
    <font>
      <sz val="15"/>
      <name val="Arial Black"/>
      <family val="2"/>
    </font>
    <font>
      <b/>
      <sz val="16"/>
      <color rgb="FF3333FF"/>
      <name val="Arial Narrow"/>
      <family val="2"/>
    </font>
    <font>
      <b/>
      <sz val="14"/>
      <color indexed="17"/>
      <name val="Arial Black"/>
      <family val="2"/>
    </font>
    <font>
      <sz val="16"/>
      <name val="Arial"/>
      <family val="2"/>
    </font>
    <font>
      <sz val="16"/>
      <color rgb="FF3333FF"/>
      <name val="Arial Narrow"/>
      <family val="2"/>
    </font>
    <font>
      <sz val="16"/>
      <name val="Arial Narrow"/>
      <family val="2"/>
    </font>
    <font>
      <b/>
      <u/>
      <sz val="16"/>
      <color rgb="FFC00000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 Black"/>
      <family val="2"/>
    </font>
    <font>
      <b/>
      <sz val="14"/>
      <color indexed="17"/>
      <name val="Arial"/>
      <family val="2"/>
    </font>
    <font>
      <sz val="16"/>
      <color rgb="FFC00000"/>
      <name val="Arial"/>
      <family val="2"/>
    </font>
    <font>
      <sz val="16"/>
      <color rgb="FFC00000"/>
      <name val="Arial Narrow"/>
      <family val="2"/>
    </font>
    <font>
      <b/>
      <sz val="14"/>
      <color rgb="FF3333FF"/>
      <name val="Arial"/>
      <family val="2"/>
    </font>
    <font>
      <b/>
      <sz val="12"/>
      <name val="Arial Narrow"/>
      <family val="2"/>
    </font>
    <font>
      <b/>
      <i/>
      <u/>
      <sz val="14"/>
      <color rgb="FF192DE7"/>
      <name val="Arial"/>
      <family val="2"/>
    </font>
    <font>
      <b/>
      <u/>
      <sz val="14"/>
      <color rgb="FFC00000"/>
      <name val="Arial"/>
      <family val="2"/>
    </font>
    <font>
      <b/>
      <sz val="14"/>
      <color rgb="FFC0000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20"/>
      <name val="Arial"/>
      <family val="2"/>
    </font>
    <font>
      <b/>
      <i/>
      <sz val="14"/>
      <color rgb="FF3333FF"/>
      <name val="Arial"/>
      <family val="2"/>
    </font>
    <font>
      <b/>
      <sz val="14"/>
      <color indexed="20"/>
      <name val="Arial"/>
      <family val="2"/>
    </font>
    <font>
      <b/>
      <i/>
      <sz val="14"/>
      <color indexed="20"/>
      <name val="Arial"/>
      <family val="2"/>
    </font>
    <font>
      <b/>
      <i/>
      <sz val="14"/>
      <name val="Arial"/>
      <family val="2"/>
    </font>
    <font>
      <b/>
      <i/>
      <u/>
      <sz val="14"/>
      <color indexed="20"/>
      <name val="Arial"/>
      <family val="2"/>
    </font>
    <font>
      <b/>
      <i/>
      <sz val="14"/>
      <color rgb="FFFF0000"/>
      <name val="Arial"/>
      <family val="2"/>
    </font>
    <font>
      <b/>
      <i/>
      <sz val="10"/>
      <color indexed="20"/>
      <name val="Arial"/>
      <family val="2"/>
    </font>
    <font>
      <sz val="12"/>
      <name val="Arial"/>
      <family val="2"/>
    </font>
    <font>
      <b/>
      <sz val="12"/>
      <color indexed="8"/>
      <name val="Arial Narrow"/>
      <family val="2"/>
    </font>
    <font>
      <b/>
      <sz val="12"/>
      <name val="Arial"/>
      <family val="2"/>
    </font>
    <font>
      <b/>
      <sz val="12"/>
      <name val="Bodoni MT Black"/>
      <family val="1"/>
    </font>
    <font>
      <b/>
      <i/>
      <sz val="12"/>
      <color rgb="FF3333FF"/>
      <name val="Arial"/>
      <family val="2"/>
    </font>
    <font>
      <b/>
      <sz val="12"/>
      <color indexed="8"/>
      <name val="Arial"/>
      <family val="2"/>
    </font>
    <font>
      <b/>
      <sz val="12"/>
      <color indexed="20"/>
      <name val="Arial"/>
      <family val="2"/>
    </font>
    <font>
      <b/>
      <sz val="12"/>
      <color indexed="12"/>
      <name val="Arial Narrow"/>
      <family val="2"/>
    </font>
    <font>
      <b/>
      <sz val="12"/>
      <color indexed="12"/>
      <name val="Arial"/>
      <family val="2"/>
    </font>
    <font>
      <b/>
      <sz val="12"/>
      <color rgb="FF3333FF"/>
      <name val="Arial"/>
      <family val="2"/>
    </font>
    <font>
      <b/>
      <sz val="12"/>
      <color rgb="FF3333FF"/>
      <name val="Arial Narrow"/>
      <family val="2"/>
    </font>
    <font>
      <b/>
      <u/>
      <sz val="12"/>
      <name val="Arial Black"/>
      <family val="2"/>
    </font>
    <font>
      <b/>
      <u/>
      <sz val="12"/>
      <color indexed="8"/>
      <name val="Arial"/>
      <family val="2"/>
    </font>
    <font>
      <b/>
      <sz val="12"/>
      <color rgb="FFFF0000"/>
      <name val="Arial Narrow"/>
      <family val="2"/>
    </font>
    <font>
      <b/>
      <u/>
      <sz val="12"/>
      <color rgb="FFC00000"/>
      <name val="Arial Narrow"/>
      <family val="2"/>
    </font>
    <font>
      <b/>
      <u/>
      <sz val="12"/>
      <color rgb="FFC00000"/>
      <name val="Arial"/>
      <family val="2"/>
    </font>
    <font>
      <b/>
      <sz val="12"/>
      <color rgb="FFC00000"/>
      <name val="Arial Narrow"/>
      <family val="2"/>
    </font>
    <font>
      <b/>
      <sz val="12"/>
      <color rgb="FFC00000"/>
      <name val="Arial"/>
      <family val="2"/>
    </font>
    <font>
      <b/>
      <i/>
      <sz val="12"/>
      <name val="Arial"/>
      <family val="2"/>
    </font>
    <font>
      <b/>
      <sz val="12"/>
      <name val="Arial Rounded MT Bold"/>
      <family val="2"/>
    </font>
    <font>
      <b/>
      <sz val="12"/>
      <color rgb="FF3333FF"/>
      <name val="Arial Rounded MT Bold"/>
      <family val="2"/>
    </font>
    <font>
      <b/>
      <i/>
      <u/>
      <sz val="12"/>
      <color indexed="20"/>
      <name val="Arial"/>
      <family val="2"/>
    </font>
    <font>
      <b/>
      <u/>
      <sz val="12"/>
      <color rgb="FF192DE7"/>
      <name val="Arial Narrow"/>
      <family val="2"/>
    </font>
    <font>
      <b/>
      <u/>
      <sz val="12"/>
      <color rgb="FF192DE7"/>
      <name val="Arial"/>
      <family val="2"/>
    </font>
    <font>
      <b/>
      <i/>
      <u/>
      <sz val="12"/>
      <color rgb="FF192DE7"/>
      <name val="Arial"/>
      <family val="2"/>
    </font>
    <font>
      <sz val="12"/>
      <color indexed="10"/>
      <name val="Arial"/>
      <family val="2"/>
    </font>
    <font>
      <sz val="12"/>
      <color indexed="10"/>
      <name val="Arial Narrow"/>
      <family val="2"/>
    </font>
    <font>
      <b/>
      <i/>
      <sz val="12"/>
      <color rgb="FFFF0000"/>
      <name val="Arial"/>
      <family val="2"/>
    </font>
    <font>
      <b/>
      <sz val="12"/>
      <color theme="8" tint="-0.249977111117893"/>
      <name val="Arial"/>
      <family val="2"/>
    </font>
    <font>
      <b/>
      <sz val="12"/>
      <color theme="8" tint="-0.249977111117893"/>
      <name val="Arial Narrow"/>
      <family val="2"/>
    </font>
    <font>
      <b/>
      <u/>
      <sz val="12"/>
      <color indexed="20"/>
      <name val="Arial"/>
      <family val="2"/>
    </font>
    <font>
      <b/>
      <sz val="12"/>
      <color indexed="17"/>
      <name val="Arial"/>
      <family val="2"/>
    </font>
    <font>
      <b/>
      <u/>
      <sz val="12"/>
      <color rgb="FFFF0000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0"/>
      <color indexed="20"/>
      <name val="Arial Black"/>
      <family val="2"/>
    </font>
    <font>
      <b/>
      <sz val="9.5"/>
      <name val="Arial"/>
      <family val="2"/>
    </font>
    <font>
      <sz val="9.5"/>
      <name val="Arial"/>
      <family val="2"/>
    </font>
    <font>
      <b/>
      <sz val="9.5"/>
      <name val="Agency FB"/>
      <family val="2"/>
    </font>
    <font>
      <b/>
      <i/>
      <sz val="9.5"/>
      <name val="Agency FB"/>
      <family val="2"/>
    </font>
    <font>
      <b/>
      <i/>
      <u/>
      <sz val="9.5"/>
      <name val="Agency FB"/>
      <family val="2"/>
    </font>
    <font>
      <b/>
      <u/>
      <sz val="9.5"/>
      <name val="Agency FB"/>
      <family val="2"/>
    </font>
    <font>
      <b/>
      <sz val="15"/>
      <name val="Arial"/>
      <family val="2"/>
    </font>
    <font>
      <b/>
      <u/>
      <sz val="10"/>
      <name val="Arial Narrow"/>
      <family val="2"/>
    </font>
    <font>
      <b/>
      <sz val="11"/>
      <name val="Agency FB"/>
      <family val="2"/>
    </font>
    <font>
      <sz val="11"/>
      <name val="Agency FB"/>
      <family val="2"/>
    </font>
    <font>
      <b/>
      <sz val="11"/>
      <name val="Arial"/>
      <family val="2"/>
    </font>
    <font>
      <b/>
      <sz val="12"/>
      <color indexed="17"/>
      <name val="Calibri"/>
      <family val="2"/>
    </font>
    <font>
      <b/>
      <sz val="8.4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72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auto="1"/>
      </bottom>
      <diagonal/>
    </border>
    <border>
      <left/>
      <right style="medium">
        <color indexed="8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auto="1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</borders>
  <cellStyleXfs count="3">
    <xf numFmtId="0" fontId="0" fillId="0" borderId="0"/>
    <xf numFmtId="165" fontId="9" fillId="0" borderId="0" applyFill="0" applyBorder="0" applyAlignment="0" applyProtection="0"/>
    <xf numFmtId="164" fontId="9" fillId="0" borderId="0" applyFont="0" applyFill="0" applyBorder="0" applyAlignment="0" applyProtection="0"/>
  </cellStyleXfs>
  <cellXfs count="329">
    <xf numFmtId="0" fontId="0" fillId="0" borderId="0" xfId="0"/>
    <xf numFmtId="0" fontId="1" fillId="0" borderId="0" xfId="0" applyFont="1"/>
    <xf numFmtId="0" fontId="5" fillId="0" borderId="0" xfId="0" applyFont="1" applyBorder="1"/>
    <xf numFmtId="0" fontId="0" fillId="0" borderId="0" xfId="0" applyFill="1"/>
    <xf numFmtId="0" fontId="12" fillId="0" borderId="11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/>
    </xf>
    <xf numFmtId="3" fontId="1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0" fillId="5" borderId="0" xfId="0" applyFont="1" applyFill="1"/>
    <xf numFmtId="3" fontId="17" fillId="5" borderId="13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9" fillId="4" borderId="0" xfId="0" applyFont="1" applyFill="1"/>
    <xf numFmtId="3" fontId="29" fillId="4" borderId="0" xfId="0" applyNumberFormat="1" applyFont="1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/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3" fillId="0" borderId="0" xfId="0" applyFont="1"/>
    <xf numFmtId="0" fontId="20" fillId="0" borderId="0" xfId="0" applyFont="1" applyAlignment="1">
      <alignment horizontal="center"/>
    </xf>
    <xf numFmtId="3" fontId="33" fillId="0" borderId="13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3" fontId="17" fillId="0" borderId="7" xfId="0" applyNumberFormat="1" applyFont="1" applyFill="1" applyBorder="1" applyAlignment="1">
      <alignment vertical="center"/>
    </xf>
    <xf numFmtId="0" fontId="20" fillId="0" borderId="0" xfId="0" applyFont="1" applyFill="1"/>
    <xf numFmtId="3" fontId="17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7" xfId="0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3" fontId="24" fillId="4" borderId="9" xfId="0" applyNumberFormat="1" applyFont="1" applyFill="1" applyBorder="1" applyAlignment="1">
      <alignment vertical="center"/>
    </xf>
    <xf numFmtId="3" fontId="23" fillId="4" borderId="11" xfId="0" applyNumberFormat="1" applyFont="1" applyFill="1" applyBorder="1" applyAlignment="1">
      <alignment vertical="center"/>
    </xf>
    <xf numFmtId="0" fontId="14" fillId="0" borderId="0" xfId="0" applyFont="1" applyFill="1"/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3" fontId="21" fillId="7" borderId="0" xfId="0" applyNumberFormat="1" applyFont="1" applyFill="1" applyAlignment="1">
      <alignment vertical="center"/>
    </xf>
    <xf numFmtId="0" fontId="22" fillId="6" borderId="0" xfId="0" applyFont="1" applyFill="1" applyAlignment="1">
      <alignment vertical="center"/>
    </xf>
    <xf numFmtId="3" fontId="21" fillId="6" borderId="0" xfId="0" applyNumberFormat="1" applyFont="1" applyFill="1" applyAlignment="1">
      <alignment vertical="center"/>
    </xf>
    <xf numFmtId="0" fontId="28" fillId="6" borderId="0" xfId="0" applyFont="1" applyFill="1" applyAlignment="1">
      <alignment vertical="center"/>
    </xf>
    <xf numFmtId="3" fontId="27" fillId="6" borderId="0" xfId="0" applyNumberFormat="1" applyFont="1" applyFill="1" applyAlignment="1">
      <alignment vertical="center"/>
    </xf>
    <xf numFmtId="0" fontId="18" fillId="0" borderId="0" xfId="0" applyFont="1"/>
    <xf numFmtId="0" fontId="34" fillId="0" borderId="0" xfId="0" applyFont="1"/>
    <xf numFmtId="0" fontId="35" fillId="0" borderId="0" xfId="0" applyFont="1" applyFill="1" applyAlignment="1">
      <alignment vertical="center"/>
    </xf>
    <xf numFmtId="0" fontId="35" fillId="0" borderId="0" xfId="0" applyFont="1" applyFill="1"/>
    <xf numFmtId="0" fontId="32" fillId="0" borderId="0" xfId="0" applyFont="1" applyFill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7" fillId="0" borderId="12" xfId="0" applyFont="1" applyBorder="1" applyAlignment="1">
      <alignment vertical="center"/>
    </xf>
    <xf numFmtId="0" fontId="28" fillId="7" borderId="0" xfId="0" applyFont="1" applyFill="1"/>
    <xf numFmtId="3" fontId="27" fillId="7" borderId="0" xfId="0" applyNumberFormat="1" applyFont="1" applyFill="1"/>
    <xf numFmtId="0" fontId="15" fillId="4" borderId="0" xfId="0" applyFont="1" applyFill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15" fillId="0" borderId="0" xfId="0" applyFont="1" applyFill="1"/>
    <xf numFmtId="3" fontId="3" fillId="0" borderId="0" xfId="0" applyNumberFormat="1" applyFont="1" applyFill="1"/>
    <xf numFmtId="0" fontId="20" fillId="0" borderId="0" xfId="0" applyFont="1"/>
    <xf numFmtId="3" fontId="39" fillId="4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20" fillId="7" borderId="0" xfId="0" applyFont="1" applyFill="1"/>
    <xf numFmtId="3" fontId="17" fillId="7" borderId="13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3" fontId="40" fillId="6" borderId="0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11" fillId="0" borderId="0" xfId="0" applyFont="1" applyAlignment="1">
      <alignment vertical="center"/>
    </xf>
    <xf numFmtId="3" fontId="38" fillId="4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3" fontId="17" fillId="0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40" fillId="0" borderId="13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25" fillId="6" borderId="15" xfId="0" applyFont="1" applyFill="1" applyBorder="1" applyAlignment="1">
      <alignment horizontal="center" vertical="center" wrapText="1"/>
    </xf>
    <xf numFmtId="0" fontId="0" fillId="0" borderId="0" xfId="0" applyFont="1"/>
    <xf numFmtId="4" fontId="58" fillId="0" borderId="0" xfId="0" applyNumberFormat="1" applyFont="1"/>
    <xf numFmtId="43" fontId="2" fillId="0" borderId="0" xfId="0" applyNumberFormat="1" applyFont="1" applyBorder="1" applyAlignment="1">
      <alignment horizontal="center"/>
    </xf>
    <xf numFmtId="49" fontId="17" fillId="6" borderId="15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4" fillId="0" borderId="4" xfId="0" applyFont="1" applyBorder="1"/>
    <xf numFmtId="0" fontId="44" fillId="0" borderId="46" xfId="0" applyFont="1" applyBorder="1"/>
    <xf numFmtId="0" fontId="44" fillId="0" borderId="46" xfId="0" applyFont="1" applyBorder="1" applyAlignment="1">
      <alignment vertical="center"/>
    </xf>
    <xf numFmtId="0" fontId="65" fillId="0" borderId="21" xfId="0" applyFont="1" applyBorder="1" applyAlignment="1">
      <alignment vertical="center" wrapText="1"/>
    </xf>
    <xf numFmtId="0" fontId="68" fillId="0" borderId="4" xfId="0" applyFont="1" applyFill="1" applyBorder="1" applyAlignment="1">
      <alignment vertical="center"/>
    </xf>
    <xf numFmtId="0" fontId="68" fillId="0" borderId="4" xfId="0" applyFont="1" applyFill="1" applyBorder="1" applyAlignment="1">
      <alignment vertical="center" wrapText="1"/>
    </xf>
    <xf numFmtId="0" fontId="68" fillId="0" borderId="46" xfId="0" applyFont="1" applyFill="1" applyBorder="1" applyAlignment="1">
      <alignment vertical="center" wrapText="1"/>
    </xf>
    <xf numFmtId="0" fontId="44" fillId="10" borderId="22" xfId="0" applyFont="1" applyFill="1" applyBorder="1" applyAlignment="1">
      <alignment vertical="center"/>
    </xf>
    <xf numFmtId="0" fontId="65" fillId="10" borderId="22" xfId="0" applyFont="1" applyFill="1" applyBorder="1" applyAlignment="1">
      <alignment horizontal="left" vertical="center" wrapText="1"/>
    </xf>
    <xf numFmtId="0" fontId="68" fillId="10" borderId="10" xfId="0" applyFont="1" applyFill="1" applyBorder="1" applyAlignment="1">
      <alignment vertical="center"/>
    </xf>
    <xf numFmtId="0" fontId="68" fillId="10" borderId="4" xfId="0" applyFont="1" applyFill="1" applyBorder="1" applyAlignment="1">
      <alignment horizontal="left" vertical="center" wrapText="1"/>
    </xf>
    <xf numFmtId="0" fontId="44" fillId="0" borderId="32" xfId="0" applyFont="1" applyBorder="1" applyAlignment="1">
      <alignment vertical="center"/>
    </xf>
    <xf numFmtId="0" fontId="65" fillId="0" borderId="32" xfId="0" applyFont="1" applyBorder="1" applyAlignment="1">
      <alignment horizontal="left" vertical="center"/>
    </xf>
    <xf numFmtId="0" fontId="44" fillId="0" borderId="24" xfId="0" applyFont="1" applyBorder="1" applyAlignment="1">
      <alignment vertical="center"/>
    </xf>
    <xf numFmtId="0" fontId="65" fillId="0" borderId="24" xfId="0" applyFont="1" applyBorder="1" applyAlignment="1">
      <alignment vertical="center"/>
    </xf>
    <xf numFmtId="0" fontId="71" fillId="0" borderId="47" xfId="0" applyFont="1" applyBorder="1" applyAlignment="1">
      <alignment vertical="center" wrapText="1"/>
    </xf>
    <xf numFmtId="0" fontId="71" fillId="0" borderId="49" xfId="0" applyFont="1" applyBorder="1" applyAlignment="1">
      <alignment vertical="center" wrapText="1"/>
    </xf>
    <xf numFmtId="0" fontId="72" fillId="0" borderId="17" xfId="0" applyFont="1" applyBorder="1" applyAlignment="1">
      <alignment vertical="center"/>
    </xf>
    <xf numFmtId="0" fontId="72" fillId="0" borderId="17" xfId="0" applyFont="1" applyBorder="1" applyAlignment="1">
      <alignment horizontal="left" vertical="center"/>
    </xf>
    <xf numFmtId="0" fontId="74" fillId="0" borderId="10" xfId="0" applyFont="1" applyBorder="1" applyAlignment="1">
      <alignment vertical="center"/>
    </xf>
    <xf numFmtId="0" fontId="74" fillId="0" borderId="10" xfId="0" applyFont="1" applyBorder="1" applyAlignment="1">
      <alignment vertical="center" wrapText="1"/>
    </xf>
    <xf numFmtId="0" fontId="74" fillId="0" borderId="47" xfId="0" applyFont="1" applyBorder="1" applyAlignment="1">
      <alignment vertical="center"/>
    </xf>
    <xf numFmtId="0" fontId="74" fillId="0" borderId="49" xfId="0" applyFont="1" applyBorder="1" applyAlignment="1">
      <alignment vertical="center" wrapText="1"/>
    </xf>
    <xf numFmtId="0" fontId="74" fillId="0" borderId="50" xfId="0" applyFont="1" applyBorder="1" applyAlignment="1">
      <alignment vertical="center" wrapText="1"/>
    </xf>
    <xf numFmtId="0" fontId="74" fillId="0" borderId="14" xfId="0" applyFont="1" applyBorder="1" applyAlignment="1">
      <alignment vertical="center"/>
    </xf>
    <xf numFmtId="0" fontId="74" fillId="0" borderId="24" xfId="0" applyFont="1" applyBorder="1" applyAlignment="1">
      <alignment horizontal="left" vertical="center" wrapText="1"/>
    </xf>
    <xf numFmtId="0" fontId="77" fillId="0" borderId="4" xfId="0" applyFont="1" applyBorder="1" applyAlignment="1">
      <alignment horizontal="center" vertical="center"/>
    </xf>
    <xf numFmtId="0" fontId="78" fillId="0" borderId="4" xfId="0" applyFont="1" applyBorder="1" applyAlignment="1">
      <alignment horizontal="left" vertical="center" wrapText="1"/>
    </xf>
    <xf numFmtId="0" fontId="83" fillId="0" borderId="22" xfId="0" applyFont="1" applyFill="1" applyBorder="1" applyAlignment="1">
      <alignment vertical="center"/>
    </xf>
    <xf numFmtId="0" fontId="84" fillId="0" borderId="46" xfId="0" applyFont="1" applyFill="1" applyBorder="1" applyAlignment="1">
      <alignment horizontal="right" vertical="center"/>
    </xf>
    <xf numFmtId="0" fontId="86" fillId="0" borderId="22" xfId="0" applyFont="1" applyFill="1" applyBorder="1" applyAlignment="1">
      <alignment vertical="center"/>
    </xf>
    <xf numFmtId="0" fontId="87" fillId="0" borderId="46" xfId="0" applyFont="1" applyFill="1" applyBorder="1" applyAlignment="1">
      <alignment horizontal="right" vertical="center"/>
    </xf>
    <xf numFmtId="0" fontId="83" fillId="0" borderId="25" xfId="0" applyFont="1" applyFill="1" applyBorder="1" applyAlignment="1">
      <alignment vertical="center"/>
    </xf>
    <xf numFmtId="0" fontId="84" fillId="0" borderId="21" xfId="0" applyFont="1" applyFill="1" applyBorder="1" applyAlignment="1">
      <alignment horizontal="right" vertical="center"/>
    </xf>
    <xf numFmtId="0" fontId="65" fillId="0" borderId="4" xfId="0" applyFont="1" applyBorder="1" applyAlignment="1">
      <alignment wrapText="1"/>
    </xf>
    <xf numFmtId="0" fontId="65" fillId="0" borderId="46" xfId="0" applyFont="1" applyBorder="1" applyAlignment="1">
      <alignment wrapText="1"/>
    </xf>
    <xf numFmtId="0" fontId="65" fillId="0" borderId="46" xfId="0" applyFont="1" applyBorder="1" applyAlignment="1">
      <alignment vertical="center" wrapText="1"/>
    </xf>
    <xf numFmtId="4" fontId="96" fillId="0" borderId="56" xfId="0" applyNumberFormat="1" applyFont="1" applyFill="1" applyBorder="1" applyAlignment="1">
      <alignment vertical="center"/>
    </xf>
    <xf numFmtId="4" fontId="97" fillId="0" borderId="56" xfId="0" applyNumberFormat="1" applyFont="1" applyFill="1" applyBorder="1" applyAlignment="1">
      <alignment vertical="center"/>
    </xf>
    <xf numFmtId="4" fontId="96" fillId="0" borderId="56" xfId="0" applyNumberFormat="1" applyFont="1" applyFill="1" applyBorder="1"/>
    <xf numFmtId="4" fontId="98" fillId="0" borderId="56" xfId="0" applyNumberFormat="1" applyFont="1" applyFill="1" applyBorder="1"/>
    <xf numFmtId="4" fontId="99" fillId="0" borderId="56" xfId="0" applyNumberFormat="1" applyFont="1" applyFill="1" applyBorder="1" applyAlignment="1">
      <alignment vertical="center"/>
    </xf>
    <xf numFmtId="49" fontId="5" fillId="6" borderId="56" xfId="0" applyNumberFormat="1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 wrapText="1"/>
    </xf>
    <xf numFmtId="4" fontId="5" fillId="0" borderId="56" xfId="0" applyNumberFormat="1" applyFont="1" applyFill="1" applyBorder="1" applyAlignment="1">
      <alignment vertical="center"/>
    </xf>
    <xf numFmtId="4" fontId="5" fillId="7" borderId="56" xfId="0" applyNumberFormat="1" applyFont="1" applyFill="1" applyBorder="1" applyAlignment="1">
      <alignment vertical="center"/>
    </xf>
    <xf numFmtId="4" fontId="5" fillId="0" borderId="56" xfId="0" applyNumberFormat="1" applyFont="1" applyFill="1" applyBorder="1"/>
    <xf numFmtId="4" fontId="5" fillId="0" borderId="56" xfId="0" applyNumberFormat="1" applyFont="1" applyBorder="1"/>
    <xf numFmtId="165" fontId="5" fillId="0" borderId="56" xfId="1" applyFont="1" applyFill="1" applyBorder="1" applyAlignment="1" applyProtection="1"/>
    <xf numFmtId="165" fontId="5" fillId="0" borderId="56" xfId="1" applyFont="1" applyFill="1" applyBorder="1" applyAlignment="1" applyProtection="1">
      <alignment vertical="center"/>
    </xf>
    <xf numFmtId="4" fontId="5" fillId="0" borderId="56" xfId="0" applyNumberFormat="1" applyFont="1" applyBorder="1" applyAlignment="1">
      <alignment vertical="center"/>
    </xf>
    <xf numFmtId="4" fontId="5" fillId="0" borderId="56" xfId="1" applyNumberFormat="1" applyFont="1" applyFill="1" applyBorder="1" applyAlignment="1" applyProtection="1">
      <alignment vertical="center"/>
    </xf>
    <xf numFmtId="4" fontId="5" fillId="9" borderId="56" xfId="0" applyNumberFormat="1" applyFont="1" applyFill="1" applyBorder="1"/>
    <xf numFmtId="4" fontId="5" fillId="2" borderId="56" xfId="0" applyNumberFormat="1" applyFont="1" applyFill="1" applyBorder="1" applyAlignment="1">
      <alignment vertical="center"/>
    </xf>
    <xf numFmtId="4" fontId="5" fillId="2" borderId="56" xfId="0" applyNumberFormat="1" applyFont="1" applyFill="1" applyBorder="1" applyAlignment="1">
      <alignment horizontal="right" vertical="center"/>
    </xf>
    <xf numFmtId="4" fontId="101" fillId="7" borderId="56" xfId="0" applyNumberFormat="1" applyFont="1" applyFill="1" applyBorder="1" applyAlignment="1">
      <alignment vertical="center"/>
    </xf>
    <xf numFmtId="0" fontId="103" fillId="0" borderId="0" xfId="0" applyFont="1"/>
    <xf numFmtId="0" fontId="102" fillId="0" borderId="0" xfId="0" applyFont="1" applyAlignment="1"/>
    <xf numFmtId="0" fontId="95" fillId="0" borderId="0" xfId="0" applyFont="1" applyBorder="1" applyAlignment="1">
      <alignment horizontal="left" vertical="center"/>
    </xf>
    <xf numFmtId="0" fontId="44" fillId="0" borderId="66" xfId="0" applyFont="1" applyBorder="1" applyAlignment="1">
      <alignment vertical="center"/>
    </xf>
    <xf numFmtId="4" fontId="60" fillId="10" borderId="15" xfId="0" applyNumberFormat="1" applyFont="1" applyFill="1" applyBorder="1" applyAlignment="1">
      <alignment vertical="center"/>
    </xf>
    <xf numFmtId="4" fontId="62" fillId="10" borderId="15" xfId="0" applyNumberFormat="1" applyFont="1" applyFill="1" applyBorder="1" applyAlignment="1">
      <alignment horizontal="right" vertical="center"/>
    </xf>
    <xf numFmtId="4" fontId="51" fillId="10" borderId="36" xfId="0" applyNumberFormat="1" applyFont="1" applyFill="1" applyBorder="1" applyAlignment="1">
      <alignment vertical="center"/>
    </xf>
    <xf numFmtId="4" fontId="60" fillId="10" borderId="15" xfId="0" applyNumberFormat="1" applyFont="1" applyFill="1" applyBorder="1" applyAlignment="1">
      <alignment horizontal="right" vertical="center"/>
    </xf>
    <xf numFmtId="4" fontId="51" fillId="10" borderId="2" xfId="0" applyNumberFormat="1" applyFont="1" applyFill="1" applyBorder="1" applyAlignment="1">
      <alignment vertical="center"/>
    </xf>
    <xf numFmtId="4" fontId="64" fillId="10" borderId="15" xfId="0" applyNumberFormat="1" applyFont="1" applyFill="1" applyBorder="1" applyAlignment="1">
      <alignment horizontal="right" vertical="center"/>
    </xf>
    <xf numFmtId="4" fontId="52" fillId="10" borderId="2" xfId="0" applyNumberFormat="1" applyFont="1" applyFill="1" applyBorder="1"/>
    <xf numFmtId="165" fontId="67" fillId="10" borderId="4" xfId="1" applyFont="1" applyFill="1" applyBorder="1" applyAlignment="1" applyProtection="1">
      <alignment vertical="center"/>
    </xf>
    <xf numFmtId="4" fontId="64" fillId="10" borderId="4" xfId="0" applyNumberFormat="1" applyFont="1" applyFill="1" applyBorder="1" applyAlignment="1">
      <alignment horizontal="right" vertical="center"/>
    </xf>
    <xf numFmtId="4" fontId="52" fillId="10" borderId="2" xfId="0" applyNumberFormat="1" applyFont="1" applyFill="1" applyBorder="1" applyAlignment="1">
      <alignment vertical="center"/>
    </xf>
    <xf numFmtId="165" fontId="67" fillId="10" borderId="46" xfId="1" applyFont="1" applyFill="1" applyBorder="1" applyAlignment="1" applyProtection="1">
      <alignment vertical="center"/>
    </xf>
    <xf numFmtId="165" fontId="67" fillId="10" borderId="21" xfId="1" applyFont="1" applyFill="1" applyBorder="1" applyAlignment="1" applyProtection="1">
      <alignment vertical="center"/>
    </xf>
    <xf numFmtId="165" fontId="67" fillId="10" borderId="67" xfId="1" applyFont="1" applyFill="1" applyBorder="1" applyAlignment="1" applyProtection="1">
      <alignment vertical="center"/>
    </xf>
    <xf numFmtId="165" fontId="67" fillId="10" borderId="52" xfId="1" applyFont="1" applyFill="1" applyBorder="1" applyAlignment="1" applyProtection="1">
      <alignment vertical="center"/>
    </xf>
    <xf numFmtId="165" fontId="60" fillId="10" borderId="15" xfId="1" applyFont="1" applyFill="1" applyBorder="1" applyAlignment="1" applyProtection="1">
      <alignment vertical="center"/>
    </xf>
    <xf numFmtId="165" fontId="60" fillId="10" borderId="15" xfId="1" applyFont="1" applyFill="1" applyBorder="1" applyAlignment="1" applyProtection="1">
      <alignment horizontal="right" vertical="center"/>
    </xf>
    <xf numFmtId="165" fontId="6" fillId="10" borderId="2" xfId="1" applyFont="1" applyFill="1" applyBorder="1" applyAlignment="1" applyProtection="1">
      <alignment vertical="center"/>
    </xf>
    <xf numFmtId="4" fontId="67" fillId="10" borderId="4" xfId="0" applyNumberFormat="1" applyFont="1" applyFill="1" applyBorder="1" applyAlignment="1">
      <alignment horizontal="right" vertical="center"/>
    </xf>
    <xf numFmtId="4" fontId="43" fillId="10" borderId="2" xfId="0" applyNumberFormat="1" applyFont="1" applyFill="1" applyBorder="1" applyAlignment="1">
      <alignment vertical="center"/>
    </xf>
    <xf numFmtId="4" fontId="67" fillId="10" borderId="46" xfId="0" applyNumberFormat="1" applyFont="1" applyFill="1" applyBorder="1" applyAlignment="1">
      <alignment vertical="center"/>
    </xf>
    <xf numFmtId="4" fontId="67" fillId="10" borderId="52" xfId="0" applyNumberFormat="1" applyFont="1" applyFill="1" applyBorder="1" applyAlignment="1">
      <alignment vertical="center"/>
    </xf>
    <xf numFmtId="4" fontId="70" fillId="10" borderId="15" xfId="0" applyNumberFormat="1" applyFont="1" applyFill="1" applyBorder="1" applyAlignment="1">
      <alignment vertical="center"/>
    </xf>
    <xf numFmtId="4" fontId="70" fillId="10" borderId="15" xfId="0" applyNumberFormat="1" applyFont="1" applyFill="1" applyBorder="1" applyAlignment="1">
      <alignment horizontal="right" vertical="center"/>
    </xf>
    <xf numFmtId="4" fontId="50" fillId="10" borderId="2" xfId="0" applyNumberFormat="1" applyFont="1" applyFill="1" applyBorder="1" applyAlignment="1">
      <alignment vertical="center"/>
    </xf>
    <xf numFmtId="4" fontId="66" fillId="10" borderId="32" xfId="0" applyNumberFormat="1" applyFont="1" applyFill="1" applyBorder="1" applyAlignment="1">
      <alignment vertical="center"/>
    </xf>
    <xf numFmtId="4" fontId="64" fillId="10" borderId="32" xfId="0" applyNumberFormat="1" applyFont="1" applyFill="1" applyBorder="1" applyAlignment="1">
      <alignment horizontal="right" vertical="center"/>
    </xf>
    <xf numFmtId="4" fontId="66" fillId="10" borderId="46" xfId="0" applyNumberFormat="1" applyFont="1" applyFill="1" applyBorder="1" applyAlignment="1">
      <alignment vertical="center"/>
    </xf>
    <xf numFmtId="4" fontId="66" fillId="10" borderId="28" xfId="0" applyNumberFormat="1" applyFont="1" applyFill="1" applyBorder="1" applyAlignment="1">
      <alignment vertical="center"/>
    </xf>
    <xf numFmtId="4" fontId="70" fillId="10" borderId="48" xfId="0" applyNumberFormat="1" applyFont="1" applyFill="1" applyBorder="1" applyAlignment="1">
      <alignment vertical="center"/>
    </xf>
    <xf numFmtId="4" fontId="73" fillId="10" borderId="17" xfId="0" applyNumberFormat="1" applyFont="1" applyFill="1" applyBorder="1" applyAlignment="1">
      <alignment vertical="center"/>
    </xf>
    <xf numFmtId="4" fontId="73" fillId="10" borderId="62" xfId="0" applyNumberFormat="1" applyFont="1" applyFill="1" applyBorder="1" applyAlignment="1">
      <alignment vertical="center"/>
    </xf>
    <xf numFmtId="4" fontId="73" fillId="10" borderId="35" xfId="0" applyNumberFormat="1" applyFont="1" applyFill="1" applyBorder="1" applyAlignment="1">
      <alignment horizontal="right" vertical="center"/>
    </xf>
    <xf numFmtId="4" fontId="46" fillId="10" borderId="2" xfId="0" applyNumberFormat="1" applyFont="1" applyFill="1" applyBorder="1" applyAlignment="1">
      <alignment vertical="center"/>
    </xf>
    <xf numFmtId="4" fontId="75" fillId="10" borderId="53" xfId="0" applyNumberFormat="1" applyFont="1" applyFill="1" applyBorder="1" applyAlignment="1">
      <alignment vertical="center"/>
    </xf>
    <xf numFmtId="4" fontId="75" fillId="10" borderId="63" xfId="0" applyNumberFormat="1" applyFont="1" applyFill="1" applyBorder="1" applyAlignment="1">
      <alignment vertical="center"/>
    </xf>
    <xf numFmtId="4" fontId="75" fillId="10" borderId="21" xfId="0" applyNumberFormat="1" applyFont="1" applyFill="1" applyBorder="1" applyAlignment="1">
      <alignment horizontal="right" vertical="center"/>
    </xf>
    <xf numFmtId="4" fontId="47" fillId="10" borderId="2" xfId="0" applyNumberFormat="1" applyFont="1" applyFill="1" applyBorder="1" applyAlignment="1">
      <alignment vertical="center"/>
    </xf>
    <xf numFmtId="4" fontId="75" fillId="10" borderId="54" xfId="0" applyNumberFormat="1" applyFont="1" applyFill="1" applyBorder="1" applyAlignment="1">
      <alignment vertical="center"/>
    </xf>
    <xf numFmtId="4" fontId="75" fillId="10" borderId="60" xfId="0" applyNumberFormat="1" applyFont="1" applyFill="1" applyBorder="1" applyAlignment="1">
      <alignment vertical="center"/>
    </xf>
    <xf numFmtId="4" fontId="52" fillId="10" borderId="1" xfId="0" applyNumberFormat="1" applyFont="1" applyFill="1" applyBorder="1" applyAlignment="1">
      <alignment vertical="center"/>
    </xf>
    <xf numFmtId="4" fontId="75" fillId="10" borderId="55" xfId="0" applyNumberFormat="1" applyFont="1" applyFill="1" applyBorder="1" applyAlignment="1">
      <alignment vertical="center"/>
    </xf>
    <xf numFmtId="4" fontId="75" fillId="10" borderId="10" xfId="0" applyNumberFormat="1" applyFont="1" applyFill="1" applyBorder="1" applyAlignment="1">
      <alignment vertical="center"/>
    </xf>
    <xf numFmtId="4" fontId="75" fillId="10" borderId="47" xfId="0" applyNumberFormat="1" applyFont="1" applyFill="1" applyBorder="1" applyAlignment="1">
      <alignment vertical="center"/>
    </xf>
    <xf numFmtId="4" fontId="60" fillId="10" borderId="15" xfId="1" applyNumberFormat="1" applyFont="1" applyFill="1" applyBorder="1" applyAlignment="1" applyProtection="1">
      <alignment vertical="center"/>
    </xf>
    <xf numFmtId="4" fontId="76" fillId="10" borderId="15" xfId="0" applyNumberFormat="1" applyFont="1" applyFill="1" applyBorder="1" applyAlignment="1">
      <alignment horizontal="right" vertical="center"/>
    </xf>
    <xf numFmtId="4" fontId="54" fillId="10" borderId="2" xfId="0" applyNumberFormat="1" applyFont="1" applyFill="1" applyBorder="1" applyAlignment="1">
      <alignment vertical="center"/>
    </xf>
    <xf numFmtId="4" fontId="67" fillId="10" borderId="32" xfId="0" applyNumberFormat="1" applyFont="1" applyFill="1" applyBorder="1" applyAlignment="1">
      <alignment horizontal="right" vertical="center"/>
    </xf>
    <xf numFmtId="4" fontId="53" fillId="10" borderId="2" xfId="0" applyNumberFormat="1" applyFont="1" applyFill="1" applyBorder="1" applyAlignment="1">
      <alignment vertical="center"/>
    </xf>
    <xf numFmtId="4" fontId="60" fillId="10" borderId="2" xfId="0" applyNumberFormat="1" applyFont="1" applyFill="1" applyBorder="1" applyAlignment="1">
      <alignment vertical="center"/>
    </xf>
    <xf numFmtId="4" fontId="76" fillId="10" borderId="2" xfId="0" applyNumberFormat="1" applyFont="1" applyFill="1" applyBorder="1" applyAlignment="1">
      <alignment horizontal="right" vertical="center"/>
    </xf>
    <xf numFmtId="4" fontId="60" fillId="11" borderId="18" xfId="0" applyNumberFormat="1" applyFont="1" applyFill="1" applyBorder="1" applyAlignment="1">
      <alignment vertical="center"/>
    </xf>
    <xf numFmtId="4" fontId="60" fillId="11" borderId="18" xfId="0" applyNumberFormat="1" applyFont="1" applyFill="1" applyBorder="1" applyAlignment="1">
      <alignment horizontal="right" vertical="center"/>
    </xf>
    <xf numFmtId="4" fontId="55" fillId="10" borderId="2" xfId="0" applyNumberFormat="1" applyFont="1" applyFill="1" applyBorder="1" applyAlignment="1">
      <alignment vertical="center"/>
    </xf>
    <xf numFmtId="4" fontId="60" fillId="11" borderId="46" xfId="0" applyNumberFormat="1" applyFont="1" applyFill="1" applyBorder="1" applyAlignment="1">
      <alignment vertical="center"/>
    </xf>
    <xf numFmtId="4" fontId="60" fillId="11" borderId="20" xfId="0" applyNumberFormat="1" applyFont="1" applyFill="1" applyBorder="1" applyAlignment="1">
      <alignment horizontal="right" vertical="center"/>
    </xf>
    <xf numFmtId="4" fontId="79" fillId="10" borderId="2" xfId="0" applyNumberFormat="1" applyFont="1" applyFill="1" applyBorder="1" applyAlignment="1">
      <alignment horizontal="right" vertical="center"/>
    </xf>
    <xf numFmtId="4" fontId="55" fillId="10" borderId="2" xfId="0" applyNumberFormat="1" applyFont="1" applyFill="1" applyBorder="1"/>
    <xf numFmtId="4" fontId="60" fillId="11" borderId="20" xfId="0" applyNumberFormat="1" applyFont="1" applyFill="1" applyBorder="1" applyAlignment="1">
      <alignment vertical="center"/>
    </xf>
    <xf numFmtId="4" fontId="60" fillId="11" borderId="46" xfId="0" applyNumberFormat="1" applyFont="1" applyFill="1" applyBorder="1" applyAlignment="1">
      <alignment horizontal="right" vertical="center"/>
    </xf>
    <xf numFmtId="4" fontId="79" fillId="10" borderId="4" xfId="0" applyNumberFormat="1" applyFont="1" applyFill="1" applyBorder="1" applyAlignment="1">
      <alignment horizontal="right" vertical="center"/>
    </xf>
    <xf numFmtId="4" fontId="63" fillId="11" borderId="4" xfId="0" applyNumberFormat="1" applyFont="1" applyFill="1" applyBorder="1" applyAlignment="1">
      <alignment vertical="center"/>
    </xf>
    <xf numFmtId="4" fontId="63" fillId="11" borderId="4" xfId="0" applyNumberFormat="1" applyFont="1" applyFill="1" applyBorder="1" applyAlignment="1">
      <alignment horizontal="right" vertical="center"/>
    </xf>
    <xf numFmtId="4" fontId="6" fillId="10" borderId="2" xfId="0" applyNumberFormat="1" applyFont="1" applyFill="1" applyBorder="1" applyAlignment="1">
      <alignment vertical="center"/>
    </xf>
    <xf numFmtId="4" fontId="63" fillId="10" borderId="4" xfId="0" applyNumberFormat="1" applyFont="1" applyFill="1" applyBorder="1" applyAlignment="1">
      <alignment vertical="center"/>
    </xf>
    <xf numFmtId="4" fontId="60" fillId="10" borderId="4" xfId="0" applyNumberFormat="1" applyFont="1" applyFill="1" applyBorder="1" applyAlignment="1">
      <alignment horizontal="right" vertical="center"/>
    </xf>
    <xf numFmtId="4" fontId="81" fillId="10" borderId="2" xfId="0" applyNumberFormat="1" applyFont="1" applyFill="1" applyBorder="1" applyAlignment="1">
      <alignment vertical="center"/>
    </xf>
    <xf numFmtId="4" fontId="82" fillId="10" borderId="15" xfId="0" applyNumberFormat="1" applyFont="1" applyFill="1" applyBorder="1" applyAlignment="1">
      <alignment horizontal="right" vertical="center"/>
    </xf>
    <xf numFmtId="4" fontId="45" fillId="10" borderId="2" xfId="0" applyNumberFormat="1" applyFont="1" applyFill="1" applyBorder="1" applyAlignment="1">
      <alignment vertical="center"/>
    </xf>
    <xf numFmtId="4" fontId="83" fillId="10" borderId="46" xfId="0" applyNumberFormat="1" applyFont="1" applyFill="1" applyBorder="1" applyAlignment="1">
      <alignment vertical="center"/>
    </xf>
    <xf numFmtId="4" fontId="85" fillId="10" borderId="20" xfId="0" applyNumberFormat="1" applyFont="1" applyFill="1" applyBorder="1" applyAlignment="1">
      <alignment horizontal="right" vertical="center"/>
    </xf>
    <xf numFmtId="4" fontId="56" fillId="10" borderId="2" xfId="0" applyNumberFormat="1" applyFont="1" applyFill="1" applyBorder="1" applyAlignment="1">
      <alignment vertical="center"/>
    </xf>
    <xf numFmtId="4" fontId="86" fillId="10" borderId="46" xfId="0" applyNumberFormat="1" applyFont="1" applyFill="1" applyBorder="1" applyAlignment="1">
      <alignment vertical="center"/>
    </xf>
    <xf numFmtId="4" fontId="83" fillId="10" borderId="21" xfId="0" applyNumberFormat="1" applyFont="1" applyFill="1" applyBorder="1" applyAlignment="1">
      <alignment vertical="center"/>
    </xf>
    <xf numFmtId="4" fontId="85" fillId="10" borderId="21" xfId="0" applyNumberFormat="1" applyFont="1" applyFill="1" applyBorder="1" applyAlignment="1">
      <alignment horizontal="right" vertical="center"/>
    </xf>
    <xf numFmtId="4" fontId="83" fillId="10" borderId="2" xfId="0" applyNumberFormat="1" applyFont="1" applyFill="1" applyBorder="1" applyAlignment="1">
      <alignment vertical="center"/>
    </xf>
    <xf numFmtId="4" fontId="85" fillId="10" borderId="2" xfId="0" applyNumberFormat="1" applyFont="1" applyFill="1" applyBorder="1" applyAlignment="1">
      <alignment horizontal="right" vertical="center"/>
    </xf>
    <xf numFmtId="4" fontId="81" fillId="10" borderId="4" xfId="1" applyNumberFormat="1" applyFont="1" applyFill="1" applyBorder="1" applyAlignment="1" applyProtection="1">
      <alignment vertical="center"/>
    </xf>
    <xf numFmtId="4" fontId="82" fillId="10" borderId="32" xfId="0" applyNumberFormat="1" applyFont="1" applyFill="1" applyBorder="1" applyAlignment="1">
      <alignment horizontal="right" vertical="center"/>
    </xf>
    <xf numFmtId="4" fontId="60" fillId="10" borderId="40" xfId="0" applyNumberFormat="1" applyFont="1" applyFill="1" applyBorder="1" applyAlignment="1">
      <alignment vertical="center"/>
    </xf>
    <xf numFmtId="4" fontId="60" fillId="10" borderId="44" xfId="0" applyNumberFormat="1" applyFont="1" applyFill="1" applyBorder="1" applyAlignment="1">
      <alignment horizontal="right" vertical="center"/>
    </xf>
    <xf numFmtId="4" fontId="6" fillId="10" borderId="41" xfId="0" applyNumberFormat="1" applyFont="1" applyFill="1" applyBorder="1" applyAlignment="1">
      <alignment vertical="center"/>
    </xf>
    <xf numFmtId="4" fontId="60" fillId="10" borderId="19" xfId="0" applyNumberFormat="1" applyFont="1" applyFill="1" applyBorder="1" applyAlignment="1">
      <alignment vertical="center"/>
    </xf>
    <xf numFmtId="4" fontId="88" fillId="10" borderId="19" xfId="0" applyNumberFormat="1" applyFont="1" applyFill="1" applyBorder="1" applyAlignment="1">
      <alignment horizontal="right" vertical="center"/>
    </xf>
    <xf numFmtId="4" fontId="50" fillId="10" borderId="19" xfId="0" applyNumberFormat="1" applyFont="1" applyFill="1" applyBorder="1" applyAlignment="1">
      <alignment vertical="center"/>
    </xf>
    <xf numFmtId="4" fontId="89" fillId="10" borderId="19" xfId="0" applyNumberFormat="1" applyFont="1" applyFill="1" applyBorder="1" applyAlignment="1">
      <alignment horizontal="right" vertical="center"/>
    </xf>
    <xf numFmtId="4" fontId="90" fillId="11" borderId="19" xfId="0" applyNumberFormat="1" applyFont="1" applyFill="1" applyBorder="1" applyAlignment="1">
      <alignment horizontal="right" vertical="center"/>
    </xf>
    <xf numFmtId="3" fontId="48" fillId="11" borderId="19" xfId="0" applyNumberFormat="1" applyFont="1" applyFill="1" applyBorder="1" applyAlignment="1">
      <alignment horizontal="right" vertical="center"/>
    </xf>
    <xf numFmtId="166" fontId="92" fillId="10" borderId="16" xfId="0" applyNumberFormat="1" applyFont="1" applyFill="1" applyBorder="1" applyAlignment="1">
      <alignment horizontal="right" vertical="center"/>
    </xf>
    <xf numFmtId="166" fontId="49" fillId="10" borderId="16" xfId="0" applyNumberFormat="1" applyFont="1" applyFill="1" applyBorder="1" applyAlignment="1">
      <alignment horizontal="center"/>
    </xf>
    <xf numFmtId="4" fontId="4" fillId="10" borderId="0" xfId="0" applyNumberFormat="1" applyFont="1" applyFill="1" applyBorder="1"/>
    <xf numFmtId="165" fontId="4" fillId="10" borderId="0" xfId="1" applyFont="1" applyFill="1" applyBorder="1" applyAlignment="1" applyProtection="1"/>
    <xf numFmtId="4" fontId="4" fillId="10" borderId="45" xfId="0" applyNumberFormat="1" applyFont="1" applyFill="1" applyBorder="1"/>
    <xf numFmtId="4" fontId="57" fillId="10" borderId="45" xfId="0" applyNumberFormat="1" applyFont="1" applyFill="1" applyBorder="1"/>
    <xf numFmtId="4" fontId="0" fillId="0" borderId="0" xfId="0" applyNumberFormat="1"/>
    <xf numFmtId="4" fontId="15" fillId="0" borderId="0" xfId="0" applyNumberFormat="1" applyFont="1"/>
    <xf numFmtId="4" fontId="63" fillId="10" borderId="15" xfId="0" applyNumberFormat="1" applyFont="1" applyFill="1" applyBorder="1" applyAlignment="1">
      <alignment vertical="center"/>
    </xf>
    <xf numFmtId="4" fontId="60" fillId="10" borderId="4" xfId="0" applyNumberFormat="1" applyFont="1" applyFill="1" applyBorder="1" applyAlignment="1">
      <alignment vertical="center"/>
    </xf>
    <xf numFmtId="166" fontId="91" fillId="10" borderId="16" xfId="0" applyNumberFormat="1" applyFont="1" applyFill="1" applyBorder="1" applyAlignment="1">
      <alignment horizontal="center" vertical="center"/>
    </xf>
    <xf numFmtId="4" fontId="64" fillId="10" borderId="70" xfId="0" applyNumberFormat="1" applyFont="1" applyFill="1" applyBorder="1" applyAlignment="1">
      <alignment horizontal="right" vertical="center"/>
    </xf>
    <xf numFmtId="4" fontId="70" fillId="10" borderId="71" xfId="0" applyNumberFormat="1" applyFont="1" applyFill="1" applyBorder="1" applyAlignment="1">
      <alignment horizontal="right" vertical="center"/>
    </xf>
    <xf numFmtId="0" fontId="100" fillId="0" borderId="0" xfId="0" applyFont="1" applyAlignment="1">
      <alignment horizontal="center"/>
    </xf>
    <xf numFmtId="0" fontId="100" fillId="0" borderId="0" xfId="0" applyFont="1" applyBorder="1" applyAlignment="1">
      <alignment horizontal="center"/>
    </xf>
    <xf numFmtId="0" fontId="96" fillId="0" borderId="0" xfId="0" applyFont="1" applyBorder="1" applyAlignment="1">
      <alignment horizontal="left"/>
    </xf>
    <xf numFmtId="0" fontId="5" fillId="0" borderId="56" xfId="0" applyFont="1" applyFill="1" applyBorder="1" applyAlignment="1">
      <alignment horizontal="left" vertical="center" wrapText="1"/>
    </xf>
    <xf numFmtId="3" fontId="5" fillId="0" borderId="56" xfId="0" applyNumberFormat="1" applyFont="1" applyFill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6" borderId="56" xfId="0" applyFont="1" applyFill="1" applyBorder="1" applyAlignment="1">
      <alignment horizontal="center" vertical="center"/>
    </xf>
    <xf numFmtId="0" fontId="96" fillId="6" borderId="56" xfId="0" applyFont="1" applyFill="1" applyBorder="1" applyAlignment="1">
      <alignment horizontal="center"/>
    </xf>
    <xf numFmtId="0" fontId="5" fillId="6" borderId="56" xfId="0" applyFont="1" applyFill="1" applyBorder="1" applyAlignment="1">
      <alignment horizontal="center"/>
    </xf>
    <xf numFmtId="0" fontId="96" fillId="6" borderId="56" xfId="0" applyFont="1" applyFill="1" applyBorder="1" applyAlignment="1">
      <alignment horizontal="center" vertical="center" wrapText="1"/>
    </xf>
    <xf numFmtId="3" fontId="5" fillId="7" borderId="56" xfId="0" applyNumberFormat="1" applyFont="1" applyFill="1" applyBorder="1" applyAlignment="1">
      <alignment horizontal="left" vertical="center" wrapText="1"/>
    </xf>
    <xf numFmtId="0" fontId="104" fillId="0" borderId="0" xfId="0" applyFont="1" applyAlignment="1">
      <alignment horizontal="center"/>
    </xf>
    <xf numFmtId="0" fontId="95" fillId="0" borderId="0" xfId="0" applyFont="1" applyBorder="1" applyAlignment="1">
      <alignment horizontal="left" vertical="center"/>
    </xf>
    <xf numFmtId="4" fontId="5" fillId="0" borderId="56" xfId="0" applyNumberFormat="1" applyFont="1" applyBorder="1" applyAlignment="1">
      <alignment horizontal="center" vertical="center"/>
    </xf>
    <xf numFmtId="4" fontId="5" fillId="0" borderId="56" xfId="0" applyNumberFormat="1" applyFont="1" applyFill="1" applyBorder="1" applyAlignment="1">
      <alignment horizontal="center" vertical="center"/>
    </xf>
    <xf numFmtId="4" fontId="5" fillId="6" borderId="56" xfId="0" applyNumberFormat="1" applyFont="1" applyFill="1" applyBorder="1" applyAlignment="1">
      <alignment horizontal="center" vertical="center"/>
    </xf>
    <xf numFmtId="3" fontId="5" fillId="0" borderId="56" xfId="0" applyNumberFormat="1" applyFont="1" applyFill="1" applyBorder="1" applyAlignment="1">
      <alignment horizontal="center" vertical="center"/>
    </xf>
    <xf numFmtId="3" fontId="5" fillId="0" borderId="59" xfId="0" applyNumberFormat="1" applyFont="1" applyFill="1" applyBorder="1" applyAlignment="1">
      <alignment horizontal="center" vertical="center"/>
    </xf>
    <xf numFmtId="3" fontId="5" fillId="0" borderId="60" xfId="0" applyNumberFormat="1" applyFont="1" applyFill="1" applyBorder="1" applyAlignment="1">
      <alignment horizontal="center" vertical="center"/>
    </xf>
    <xf numFmtId="3" fontId="5" fillId="0" borderId="61" xfId="0" applyNumberFormat="1" applyFont="1" applyFill="1" applyBorder="1" applyAlignment="1">
      <alignment horizontal="center" vertical="center"/>
    </xf>
    <xf numFmtId="3" fontId="5" fillId="0" borderId="6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left" vertical="center" wrapText="1"/>
    </xf>
    <xf numFmtId="3" fontId="5" fillId="6" borderId="56" xfId="0" applyNumberFormat="1" applyFont="1" applyFill="1" applyBorder="1" applyAlignment="1">
      <alignment horizontal="left" vertical="center" wrapText="1"/>
    </xf>
    <xf numFmtId="3" fontId="5" fillId="0" borderId="59" xfId="0" applyNumberFormat="1" applyFont="1" applyFill="1" applyBorder="1" applyAlignment="1">
      <alignment horizontal="left" vertical="center" wrapText="1"/>
    </xf>
    <xf numFmtId="3" fontId="5" fillId="0" borderId="61" xfId="0" applyNumberFormat="1" applyFont="1" applyFill="1" applyBorder="1" applyAlignment="1">
      <alignment horizontal="left" vertical="center" wrapText="1"/>
    </xf>
    <xf numFmtId="3" fontId="96" fillId="0" borderId="56" xfId="0" applyNumberFormat="1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/>
    </xf>
    <xf numFmtId="3" fontId="5" fillId="9" borderId="56" xfId="0" applyNumberFormat="1" applyFont="1" applyFill="1" applyBorder="1" applyAlignment="1">
      <alignment horizontal="left" vertical="center" wrapText="1"/>
    </xf>
    <xf numFmtId="3" fontId="5" fillId="2" borderId="56" xfId="0" applyNumberFormat="1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3" fontId="29" fillId="4" borderId="30" xfId="0" applyNumberFormat="1" applyFont="1" applyFill="1" applyBorder="1" applyAlignment="1">
      <alignment horizontal="left" vertical="top" wrapText="1"/>
    </xf>
    <xf numFmtId="3" fontId="29" fillId="4" borderId="29" xfId="0" applyNumberFormat="1" applyFont="1" applyFill="1" applyBorder="1" applyAlignment="1">
      <alignment horizontal="left" vertical="top" wrapText="1"/>
    </xf>
    <xf numFmtId="0" fontId="18" fillId="4" borderId="30" xfId="0" applyFont="1" applyFill="1" applyBorder="1" applyAlignment="1">
      <alignment horizontal="left" vertical="center"/>
    </xf>
    <xf numFmtId="0" fontId="18" fillId="4" borderId="29" xfId="0" applyFont="1" applyFill="1" applyBorder="1" applyAlignment="1">
      <alignment horizontal="left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93" fillId="6" borderId="31" xfId="0" applyFont="1" applyFill="1" applyBorder="1" applyAlignment="1">
      <alignment horizontal="center" vertical="center" wrapText="1"/>
    </xf>
    <xf numFmtId="0" fontId="93" fillId="6" borderId="23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left" vertical="center" wrapText="1"/>
    </xf>
    <xf numFmtId="0" fontId="80" fillId="0" borderId="22" xfId="0" applyFont="1" applyFill="1" applyBorder="1" applyAlignment="1">
      <alignment horizontal="left" vertical="center"/>
    </xf>
    <xf numFmtId="0" fontId="83" fillId="0" borderId="5" xfId="0" applyFont="1" applyFill="1" applyBorder="1" applyAlignment="1">
      <alignment horizontal="center" vertical="center"/>
    </xf>
    <xf numFmtId="0" fontId="83" fillId="0" borderId="42" xfId="0" applyFont="1" applyFill="1" applyBorder="1" applyAlignment="1">
      <alignment horizontal="center" vertical="center"/>
    </xf>
    <xf numFmtId="3" fontId="59" fillId="0" borderId="27" xfId="0" applyNumberFormat="1" applyFont="1" applyFill="1" applyBorder="1" applyAlignment="1">
      <alignment horizontal="center" vertical="center"/>
    </xf>
    <xf numFmtId="3" fontId="59" fillId="0" borderId="2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8" fillId="0" borderId="15" xfId="0" applyFont="1" applyFill="1" applyBorder="1" applyAlignment="1">
      <alignment horizontal="left" vertical="center" wrapText="1"/>
    </xf>
    <xf numFmtId="3" fontId="69" fillId="4" borderId="15" xfId="0" applyNumberFormat="1" applyFont="1" applyFill="1" applyBorder="1" applyAlignment="1">
      <alignment vertical="center"/>
    </xf>
    <xf numFmtId="3" fontId="23" fillId="4" borderId="16" xfId="0" applyNumberFormat="1" applyFont="1" applyFill="1" applyBorder="1" applyAlignment="1">
      <alignment horizontal="left" vertical="center" wrapText="1"/>
    </xf>
    <xf numFmtId="3" fontId="23" fillId="4" borderId="48" xfId="0" applyNumberFormat="1" applyFont="1" applyFill="1" applyBorder="1" applyAlignment="1">
      <alignment horizontal="left" vertical="center" wrapText="1"/>
    </xf>
    <xf numFmtId="3" fontId="18" fillId="0" borderId="16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3" fontId="61" fillId="6" borderId="15" xfId="0" applyNumberFormat="1" applyFont="1" applyFill="1" applyBorder="1" applyAlignment="1">
      <alignment horizontal="left" vertical="center"/>
    </xf>
    <xf numFmtId="3" fontId="18" fillId="0" borderId="15" xfId="0" applyNumberFormat="1" applyFont="1" applyFill="1" applyBorder="1" applyAlignment="1">
      <alignment horizontal="left" vertical="center"/>
    </xf>
    <xf numFmtId="0" fontId="77" fillId="0" borderId="64" xfId="0" applyFont="1" applyBorder="1" applyAlignment="1">
      <alignment horizontal="left" vertical="center" wrapText="1"/>
    </xf>
    <xf numFmtId="0" fontId="77" fillId="0" borderId="65" xfId="0" applyFont="1" applyBorder="1" applyAlignment="1">
      <alignment horizontal="left" vertical="center" wrapText="1"/>
    </xf>
    <xf numFmtId="3" fontId="89" fillId="3" borderId="19" xfId="0" applyNumberFormat="1" applyFont="1" applyFill="1" applyBorder="1" applyAlignment="1">
      <alignment horizontal="left" vertical="top" wrapText="1"/>
    </xf>
    <xf numFmtId="0" fontId="91" fillId="0" borderId="16" xfId="0" applyFont="1" applyBorder="1" applyAlignment="1">
      <alignment horizontal="center"/>
    </xf>
    <xf numFmtId="3" fontId="18" fillId="0" borderId="43" xfId="0" applyNumberFormat="1" applyFont="1" applyFill="1" applyBorder="1" applyAlignment="1">
      <alignment horizontal="center" vertical="center"/>
    </xf>
    <xf numFmtId="3" fontId="18" fillId="0" borderId="44" xfId="0" applyNumberFormat="1" applyFont="1" applyFill="1" applyBorder="1" applyAlignment="1">
      <alignment horizontal="center" vertical="center"/>
    </xf>
    <xf numFmtId="3" fontId="60" fillId="5" borderId="19" xfId="0" applyNumberFormat="1" applyFont="1" applyFill="1" applyBorder="1" applyAlignment="1">
      <alignment horizontal="left" vertical="center" wrapText="1"/>
    </xf>
    <xf numFmtId="3" fontId="89" fillId="3" borderId="19" xfId="0" applyNumberFormat="1" applyFont="1" applyFill="1" applyBorder="1" applyAlignment="1">
      <alignment horizontal="left" vertical="center"/>
    </xf>
    <xf numFmtId="3" fontId="89" fillId="3" borderId="57" xfId="0" applyNumberFormat="1" applyFont="1" applyFill="1" applyBorder="1" applyAlignment="1">
      <alignment horizontal="left" vertical="top" wrapText="1"/>
    </xf>
    <xf numFmtId="3" fontId="89" fillId="3" borderId="58" xfId="0" applyNumberFormat="1" applyFont="1" applyFill="1" applyBorder="1" applyAlignment="1">
      <alignment horizontal="left" vertical="top" wrapText="1"/>
    </xf>
    <xf numFmtId="0" fontId="81" fillId="0" borderId="46" xfId="0" applyFont="1" applyFill="1" applyBorder="1" applyAlignment="1">
      <alignment horizontal="left" vertical="center" wrapText="1"/>
    </xf>
    <xf numFmtId="3" fontId="61" fillId="8" borderId="51" xfId="0" applyNumberFormat="1" applyFont="1" applyFill="1" applyBorder="1" applyAlignment="1">
      <alignment horizontal="left" vertical="center" wrapText="1"/>
    </xf>
    <xf numFmtId="3" fontId="44" fillId="2" borderId="27" xfId="0" applyNumberFormat="1" applyFont="1" applyFill="1" applyBorder="1" applyAlignment="1">
      <alignment horizontal="left" vertical="center" wrapText="1"/>
    </xf>
    <xf numFmtId="3" fontId="44" fillId="2" borderId="28" xfId="0" applyNumberFormat="1" applyFont="1" applyFill="1" applyBorder="1" applyAlignment="1">
      <alignment horizontal="left" vertical="center" wrapText="1"/>
    </xf>
    <xf numFmtId="3" fontId="44" fillId="0" borderId="5" xfId="0" applyNumberFormat="1" applyFont="1" applyFill="1" applyBorder="1" applyAlignment="1">
      <alignment horizontal="left" wrapText="1"/>
    </xf>
    <xf numFmtId="3" fontId="44" fillId="0" borderId="42" xfId="0" applyNumberFormat="1" applyFont="1" applyFill="1" applyBorder="1" applyAlignment="1">
      <alignment horizontal="left" wrapText="1"/>
    </xf>
    <xf numFmtId="3" fontId="44" fillId="0" borderId="27" xfId="0" applyNumberFormat="1" applyFont="1" applyFill="1" applyBorder="1" applyAlignment="1">
      <alignment horizontal="center" wrapText="1"/>
    </xf>
    <xf numFmtId="3" fontId="44" fillId="0" borderId="28" xfId="0" applyNumberFormat="1" applyFont="1" applyFill="1" applyBorder="1" applyAlignment="1">
      <alignment horizontal="center" wrapText="1"/>
    </xf>
    <xf numFmtId="3" fontId="59" fillId="2" borderId="46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Separador de milhares 2" xfId="2"/>
    <cellStyle name="Vírgula" xfId="1" builtinId="3"/>
  </cellStyles>
  <dxfs count="0"/>
  <tableStyles count="0" defaultTableStyle="TableStyleMedium9" defaultPivotStyle="PivotStyleLight16"/>
  <colors>
    <mruColors>
      <color rgb="FF3333FF"/>
      <color rgb="FF394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A902"/>
  <sheetViews>
    <sheetView tabSelected="1" zoomScaleNormal="100" zoomScaleSheetLayoutView="40" workbookViewId="0">
      <pane xSplit="2" ySplit="10" topLeftCell="C11" activePane="bottomRight" state="frozen"/>
      <selection activeCell="A17" sqref="A17:B17"/>
      <selection pane="topRight" activeCell="A17" sqref="A17:B17"/>
      <selection pane="bottomLeft" activeCell="A17" sqref="A17:B17"/>
      <selection pane="bottomRight" activeCell="A36" sqref="A36:P36"/>
    </sheetView>
  </sheetViews>
  <sheetFormatPr defaultRowHeight="12.75" x14ac:dyDescent="0.2"/>
  <cols>
    <col min="1" max="1" width="11.28515625" customWidth="1"/>
    <col min="2" max="2" width="28.28515625" customWidth="1"/>
    <col min="3" max="3" width="13" customWidth="1"/>
    <col min="4" max="4" width="13.42578125" customWidth="1"/>
    <col min="5" max="14" width="13.7109375" customWidth="1"/>
    <col min="15" max="15" width="16.5703125" style="1" customWidth="1"/>
    <col min="16" max="16" width="14" customWidth="1"/>
    <col min="17" max="17" width="14.85546875" customWidth="1"/>
    <col min="18" max="18" width="10.28515625" bestFit="1" customWidth="1"/>
    <col min="19" max="19" width="9.28515625" bestFit="1" customWidth="1"/>
    <col min="20" max="20" width="16.28515625" customWidth="1"/>
  </cols>
  <sheetData>
    <row r="1" spans="1:387" ht="18" customHeight="1" x14ac:dyDescent="0.3">
      <c r="A1" s="246" t="s">
        <v>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387" s="19" customFormat="1" ht="19.5" customHeight="1" x14ac:dyDescent="0.3">
      <c r="A2" s="247" t="s">
        <v>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</row>
    <row r="3" spans="1:387" s="19" customFormat="1" ht="18" customHeight="1" x14ac:dyDescent="0.3">
      <c r="A3" s="247" t="s">
        <v>16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</row>
    <row r="4" spans="1:387" s="19" customFormat="1" ht="18.75" customHeight="1" x14ac:dyDescent="0.3">
      <c r="A4" s="247" t="s">
        <v>17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</row>
    <row r="5" spans="1:387" s="19" customFormat="1" ht="18.75" customHeight="1" x14ac:dyDescent="0.3">
      <c r="A5" s="247" t="s">
        <v>128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</row>
    <row r="6" spans="1:387" s="19" customFormat="1" ht="15.75" customHeight="1" x14ac:dyDescent="0.25">
      <c r="A6" s="248" t="s">
        <v>18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</row>
    <row r="7" spans="1:387" s="19" customFormat="1" ht="15.75" customHeight="1" x14ac:dyDescent="0.25">
      <c r="A7" s="252" t="s">
        <v>20</v>
      </c>
      <c r="B7" s="252"/>
      <c r="C7" s="253" t="s">
        <v>84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</row>
    <row r="8" spans="1:387" s="19" customFormat="1" ht="15" customHeight="1" x14ac:dyDescent="0.25">
      <c r="A8" s="252"/>
      <c r="B8" s="252"/>
      <c r="C8" s="253" t="s">
        <v>85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</row>
    <row r="9" spans="1:387" s="19" customFormat="1" ht="30" customHeight="1" x14ac:dyDescent="0.2">
      <c r="A9" s="252"/>
      <c r="B9" s="252"/>
      <c r="C9" s="254" t="s">
        <v>83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5" t="s">
        <v>86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</row>
    <row r="10" spans="1:387" s="22" customFormat="1" ht="42" customHeight="1" x14ac:dyDescent="0.2">
      <c r="A10" s="252"/>
      <c r="B10" s="252"/>
      <c r="C10" s="128" t="s">
        <v>93</v>
      </c>
      <c r="D10" s="128" t="s">
        <v>98</v>
      </c>
      <c r="E10" s="128" t="s">
        <v>99</v>
      </c>
      <c r="F10" s="128" t="s">
        <v>100</v>
      </c>
      <c r="G10" s="128" t="s">
        <v>118</v>
      </c>
      <c r="H10" s="128" t="s">
        <v>119</v>
      </c>
      <c r="I10" s="128" t="s">
        <v>120</v>
      </c>
      <c r="J10" s="128" t="s">
        <v>121</v>
      </c>
      <c r="K10" s="128" t="s">
        <v>129</v>
      </c>
      <c r="L10" s="128" t="s">
        <v>130</v>
      </c>
      <c r="M10" s="128" t="s">
        <v>131</v>
      </c>
      <c r="N10" s="128" t="s">
        <v>132</v>
      </c>
      <c r="O10" s="129" t="s">
        <v>78</v>
      </c>
      <c r="P10" s="255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</row>
    <row r="11" spans="1:387" s="41" customFormat="1" ht="25.5" customHeight="1" thickBot="1" x14ac:dyDescent="0.25">
      <c r="A11" s="256" t="s">
        <v>21</v>
      </c>
      <c r="B11" s="256"/>
      <c r="C11" s="130">
        <f t="shared" ref="C11:J11" si="0">C12+C15+C18+C19</f>
        <v>72033698.539999992</v>
      </c>
      <c r="D11" s="130">
        <f t="shared" si="0"/>
        <v>114058211.26999998</v>
      </c>
      <c r="E11" s="130">
        <f t="shared" si="0"/>
        <v>93026513.780000001</v>
      </c>
      <c r="F11" s="130">
        <f t="shared" si="0"/>
        <v>95284237.129999995</v>
      </c>
      <c r="G11" s="130">
        <f t="shared" si="0"/>
        <v>97467795.329999983</v>
      </c>
      <c r="H11" s="130">
        <f t="shared" si="0"/>
        <v>98654932.640000015</v>
      </c>
      <c r="I11" s="130">
        <f t="shared" si="0"/>
        <v>149791293.69000003</v>
      </c>
      <c r="J11" s="130">
        <f t="shared" si="0"/>
        <v>188040837.21999997</v>
      </c>
      <c r="K11" s="130">
        <f t="shared" ref="K11:N11" si="1">K12+K15+K18+K19</f>
        <v>77690026.210000008</v>
      </c>
      <c r="L11" s="130">
        <f t="shared" si="1"/>
        <v>122485359.34000002</v>
      </c>
      <c r="M11" s="130">
        <f t="shared" si="1"/>
        <v>78935690.049999997</v>
      </c>
      <c r="N11" s="130">
        <f t="shared" si="1"/>
        <v>103752280.34999999</v>
      </c>
      <c r="O11" s="130">
        <f>O12+O15+O18+O19</f>
        <v>1291220875.5500002</v>
      </c>
      <c r="P11" s="124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</row>
    <row r="12" spans="1:387" s="32" customFormat="1" ht="24" customHeight="1" thickBot="1" x14ac:dyDescent="0.25">
      <c r="A12" s="250" t="s">
        <v>38</v>
      </c>
      <c r="B12" s="250"/>
      <c r="C12" s="130">
        <f t="shared" ref="C12:J12" si="2">C13+C14</f>
        <v>57512307.969999999</v>
      </c>
      <c r="D12" s="130">
        <f t="shared" si="2"/>
        <v>99553570.409999982</v>
      </c>
      <c r="E12" s="130">
        <f t="shared" si="2"/>
        <v>78407218.210000008</v>
      </c>
      <c r="F12" s="130">
        <f t="shared" si="2"/>
        <v>80594789.039999992</v>
      </c>
      <c r="G12" s="130">
        <f t="shared" si="2"/>
        <v>77562735.539999992</v>
      </c>
      <c r="H12" s="130">
        <f t="shared" si="2"/>
        <v>82420751.570000008</v>
      </c>
      <c r="I12" s="130">
        <f t="shared" si="2"/>
        <v>134498583.57000002</v>
      </c>
      <c r="J12" s="130">
        <f t="shared" si="2"/>
        <v>165871978.18999997</v>
      </c>
      <c r="K12" s="130">
        <f t="shared" ref="K12:O12" si="3">K13+K14</f>
        <v>61861713.860000007</v>
      </c>
      <c r="L12" s="130">
        <f t="shared" si="3"/>
        <v>106704322.18000001</v>
      </c>
      <c r="M12" s="130">
        <f t="shared" si="3"/>
        <v>62986445.729999997</v>
      </c>
      <c r="N12" s="130">
        <f t="shared" si="3"/>
        <v>88348687.199999988</v>
      </c>
      <c r="O12" s="130">
        <f t="shared" si="3"/>
        <v>1096323103.47</v>
      </c>
      <c r="P12" s="124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</row>
    <row r="13" spans="1:387" s="5" customFormat="1" ht="24.75" customHeight="1" x14ac:dyDescent="0.25">
      <c r="A13" s="251" t="s">
        <v>22</v>
      </c>
      <c r="B13" s="251"/>
      <c r="C13" s="132">
        <f>'1º QUA 2022 - BASE ABERT TJ'!C14</f>
        <v>56162630.07</v>
      </c>
      <c r="D13" s="132">
        <f>'1º QUA 2022 - BASE ABERT TJ'!D14</f>
        <v>73105020.829999983</v>
      </c>
      <c r="E13" s="132">
        <f>'1º QUA 2022 - BASE ABERT TJ'!E14</f>
        <v>64485025.750000007</v>
      </c>
      <c r="F13" s="132">
        <f>'1º QUA 2022 - BASE ABERT TJ'!F14</f>
        <v>66639830.269999996</v>
      </c>
      <c r="G13" s="132">
        <f>'1º QUA 2022 - BASE ABERT TJ'!G14</f>
        <v>63579063.739999995</v>
      </c>
      <c r="H13" s="132">
        <f>'1º QUA 2022 - BASE ABERT TJ'!H14</f>
        <v>68812708.190000013</v>
      </c>
      <c r="I13" s="132">
        <f>'1º QUA 2022 - BASE ABERT TJ'!I14</f>
        <v>120875182.89000002</v>
      </c>
      <c r="J13" s="132">
        <f>'1º QUA 2022 - BASE ABERT TJ'!J14</f>
        <v>135544448.45999998</v>
      </c>
      <c r="K13" s="132">
        <f>'1º QUA 2022 - BASE ABERT TJ'!K14</f>
        <v>61861713.860000007</v>
      </c>
      <c r="L13" s="132">
        <f>'1º QUA 2022 - BASE ABERT TJ'!L14</f>
        <v>78011987.310000002</v>
      </c>
      <c r="M13" s="132">
        <f>'1º QUA 2022 - BASE ABERT TJ'!M14</f>
        <v>61402603.539999999</v>
      </c>
      <c r="N13" s="132">
        <f>'1º QUA 2022 - BASE ABERT TJ'!N14</f>
        <v>73525610.039999992</v>
      </c>
      <c r="O13" s="133">
        <f>SUM(C13:N13)</f>
        <v>924005824.95000005</v>
      </c>
      <c r="P13" s="12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</row>
    <row r="14" spans="1:387" s="5" customFormat="1" ht="18.75" thickBot="1" x14ac:dyDescent="0.3">
      <c r="A14" s="251" t="s">
        <v>0</v>
      </c>
      <c r="B14" s="251"/>
      <c r="C14" s="134">
        <f>'1º QUA 2022 - BASE ABERT TJ'!C24</f>
        <v>1349677.9</v>
      </c>
      <c r="D14" s="134">
        <f>'1º QUA 2022 - BASE ABERT TJ'!D24</f>
        <v>26448549.579999994</v>
      </c>
      <c r="E14" s="134">
        <f>'1º QUA 2022 - BASE ABERT TJ'!E24</f>
        <v>13922192.459999997</v>
      </c>
      <c r="F14" s="134">
        <f>'1º QUA 2022 - BASE ABERT TJ'!F24</f>
        <v>13954958.77</v>
      </c>
      <c r="G14" s="134">
        <f>'1º QUA 2022 - BASE ABERT TJ'!G24</f>
        <v>13983671.800000001</v>
      </c>
      <c r="H14" s="134">
        <f>'1º QUA 2022 - BASE ABERT TJ'!H24</f>
        <v>13608043.379999999</v>
      </c>
      <c r="I14" s="134">
        <f>'1º QUA 2022 - BASE ABERT TJ'!I24</f>
        <v>13623400.680000002</v>
      </c>
      <c r="J14" s="134">
        <f>'1º QUA 2022 - BASE ABERT TJ'!J24</f>
        <v>30327529.73</v>
      </c>
      <c r="K14" s="134">
        <f>'1º QUA 2022 - BASE ABERT TJ'!K24</f>
        <v>0</v>
      </c>
      <c r="L14" s="134">
        <f>'1º QUA 2022 - BASE ABERT TJ'!L24</f>
        <v>28692334.870000001</v>
      </c>
      <c r="M14" s="134">
        <f>'1º QUA 2022 - BASE ABERT TJ'!M24</f>
        <v>1583842.1900000002</v>
      </c>
      <c r="N14" s="134">
        <f>'1º QUA 2022 - BASE ABERT TJ'!N24</f>
        <v>14823077.159999998</v>
      </c>
      <c r="O14" s="133">
        <f>SUM(C14:N14)</f>
        <v>172317278.51999998</v>
      </c>
      <c r="P14" s="12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</row>
    <row r="15" spans="1:387" s="31" customFormat="1" ht="21" customHeight="1" thickBot="1" x14ac:dyDescent="0.25">
      <c r="A15" s="249" t="s">
        <v>39</v>
      </c>
      <c r="B15" s="249"/>
      <c r="C15" s="130">
        <f t="shared" ref="C15:J15" si="4">C16+C17</f>
        <v>14521390.57</v>
      </c>
      <c r="D15" s="130">
        <f t="shared" si="4"/>
        <v>14504640.859999999</v>
      </c>
      <c r="E15" s="130">
        <f t="shared" si="4"/>
        <v>14619295.57</v>
      </c>
      <c r="F15" s="130">
        <f t="shared" si="4"/>
        <v>14689448.09</v>
      </c>
      <c r="G15" s="130">
        <f t="shared" si="4"/>
        <v>19905059.789999999</v>
      </c>
      <c r="H15" s="130">
        <f t="shared" si="4"/>
        <v>16234181.07</v>
      </c>
      <c r="I15" s="130">
        <f t="shared" si="4"/>
        <v>15292710.120000001</v>
      </c>
      <c r="J15" s="130">
        <f t="shared" si="4"/>
        <v>22168859.030000001</v>
      </c>
      <c r="K15" s="130">
        <f t="shared" ref="K15:O15" si="5">K16+K17</f>
        <v>15828312.350000001</v>
      </c>
      <c r="L15" s="130">
        <f t="shared" si="5"/>
        <v>15776318.76</v>
      </c>
      <c r="M15" s="130">
        <f t="shared" si="5"/>
        <v>15949244.32</v>
      </c>
      <c r="N15" s="130">
        <f t="shared" si="5"/>
        <v>15403593.15</v>
      </c>
      <c r="O15" s="130">
        <f t="shared" si="5"/>
        <v>194893053.68000001</v>
      </c>
      <c r="P15" s="123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</row>
    <row r="16" spans="1:387" s="15" customFormat="1" ht="20.25" customHeight="1" x14ac:dyDescent="0.3">
      <c r="A16" s="251" t="s">
        <v>23</v>
      </c>
      <c r="B16" s="251"/>
      <c r="C16" s="135">
        <f>'1º QUA 2022 - BASE ABERT TJ'!C31</f>
        <v>11231252.390000001</v>
      </c>
      <c r="D16" s="135">
        <f>'1º QUA 2022 - BASE ABERT TJ'!D31</f>
        <v>11137151.879999999</v>
      </c>
      <c r="E16" s="135">
        <f>'1º QUA 2022 - BASE ABERT TJ'!E31</f>
        <v>11199395.67</v>
      </c>
      <c r="F16" s="135">
        <f>'1º QUA 2022 - BASE ABERT TJ'!F31</f>
        <v>11178435.09</v>
      </c>
      <c r="G16" s="135">
        <f>'1º QUA 2022 - BASE ABERT TJ'!G31</f>
        <v>16441560.4</v>
      </c>
      <c r="H16" s="135">
        <f>'1º QUA 2022 - BASE ABERT TJ'!H31</f>
        <v>11185791.58</v>
      </c>
      <c r="I16" s="135">
        <f>'1º QUA 2022 - BASE ABERT TJ'!I31</f>
        <v>11259432.220000001</v>
      </c>
      <c r="J16" s="135">
        <f>'1º QUA 2022 - BASE ABERT TJ'!J31</f>
        <v>16934539.109999999</v>
      </c>
      <c r="K16" s="135">
        <f>'1º QUA 2022 - BASE ABERT TJ'!K31</f>
        <v>12045137.470000001</v>
      </c>
      <c r="L16" s="135">
        <f>'1º QUA 2022 - BASE ABERT TJ'!L31</f>
        <v>11974790.949999999</v>
      </c>
      <c r="M16" s="135">
        <f>'1º QUA 2022 - BASE ABERT TJ'!M31</f>
        <v>11886647.83</v>
      </c>
      <c r="N16" s="135">
        <f>'1º QUA 2022 - BASE ABERT TJ'!N31</f>
        <v>11729994.59</v>
      </c>
      <c r="O16" s="136">
        <f>SUM(C16:N16)</f>
        <v>148204129.18000001</v>
      </c>
      <c r="P16" s="123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</row>
    <row r="17" spans="1:391" s="15" customFormat="1" ht="21" customHeight="1" x14ac:dyDescent="0.3">
      <c r="A17" s="251" t="s">
        <v>24</v>
      </c>
      <c r="B17" s="251"/>
      <c r="C17" s="135">
        <f>'1º QUA 2022 - BASE ABERT TJ'!C35</f>
        <v>3290138.18</v>
      </c>
      <c r="D17" s="135">
        <f>'1º QUA 2022 - BASE ABERT TJ'!D35</f>
        <v>3367488.98</v>
      </c>
      <c r="E17" s="135">
        <f>'1º QUA 2022 - BASE ABERT TJ'!E35</f>
        <v>3419899.9</v>
      </c>
      <c r="F17" s="135">
        <f>'1º QUA 2022 - BASE ABERT TJ'!F35</f>
        <v>3511013</v>
      </c>
      <c r="G17" s="135">
        <f>'1º QUA 2022 - BASE ABERT TJ'!G35</f>
        <v>3463499.39</v>
      </c>
      <c r="H17" s="135">
        <f>'1º QUA 2022 - BASE ABERT TJ'!H35</f>
        <v>5048389.49</v>
      </c>
      <c r="I17" s="135">
        <f>'1º QUA 2022 - BASE ABERT TJ'!I35</f>
        <v>4033277.9000000004</v>
      </c>
      <c r="J17" s="135">
        <f>'1º QUA 2022 - BASE ABERT TJ'!J35</f>
        <v>5234319.9200000009</v>
      </c>
      <c r="K17" s="135">
        <f>'1º QUA 2022 - BASE ABERT TJ'!K35</f>
        <v>3783174.88</v>
      </c>
      <c r="L17" s="135">
        <f>'1º QUA 2022 - BASE ABERT TJ'!L35</f>
        <v>3801527.81</v>
      </c>
      <c r="M17" s="135">
        <f>'1º QUA 2022 - BASE ABERT TJ'!M35</f>
        <v>4062596.4899999998</v>
      </c>
      <c r="N17" s="135">
        <f>'1º QUA 2022 - BASE ABERT TJ'!N35</f>
        <v>3673598.56</v>
      </c>
      <c r="O17" s="136">
        <f>SUM(C17:N17)</f>
        <v>46688924.500000007</v>
      </c>
      <c r="P17" s="123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</row>
    <row r="18" spans="1:391" s="29" customFormat="1" ht="41.25" customHeight="1" x14ac:dyDescent="0.45">
      <c r="A18" s="250" t="s">
        <v>87</v>
      </c>
      <c r="B18" s="250"/>
      <c r="C18" s="137">
        <f>'1º QUA 2022 - BASE ABERT TJ'!C41</f>
        <v>0</v>
      </c>
      <c r="D18" s="137">
        <f>'1º QUA 2022 - BASE ABERT TJ'!D41</f>
        <v>0</v>
      </c>
      <c r="E18" s="137">
        <f>'1º QUA 2022 - BASE ABERT TJ'!E41</f>
        <v>0</v>
      </c>
      <c r="F18" s="137">
        <f>'1º QUA 2022 - BASE ABERT TJ'!F41</f>
        <v>0</v>
      </c>
      <c r="G18" s="137">
        <f>'1º QUA 2022 - BASE ABERT TJ'!G41</f>
        <v>0</v>
      </c>
      <c r="H18" s="137">
        <f>'1º QUA 2022 - BASE ABERT TJ'!H41</f>
        <v>0</v>
      </c>
      <c r="I18" s="137">
        <f>'1º QUA 2022 - BASE ABERT TJ'!I41</f>
        <v>0</v>
      </c>
      <c r="J18" s="137">
        <f>'1º QUA 2022 - BASE ABERT TJ'!J41</f>
        <v>0</v>
      </c>
      <c r="K18" s="137">
        <f>'1º QUA 2022 - BASE ABERT TJ'!K41</f>
        <v>0</v>
      </c>
      <c r="L18" s="137">
        <f>'1º QUA 2022 - BASE ABERT TJ'!L41</f>
        <v>4718.3999999999996</v>
      </c>
      <c r="M18" s="137">
        <f>'1º QUA 2022 - BASE ABERT TJ'!M41</f>
        <v>0</v>
      </c>
      <c r="N18" s="137">
        <f>'1º QUA 2022 - BASE ABERT TJ'!N41</f>
        <v>0</v>
      </c>
      <c r="O18" s="137">
        <f>'1º QUA 2022 - BASE ABERT TJ'!O41</f>
        <v>4718.3999999999996</v>
      </c>
      <c r="P18" s="124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</row>
    <row r="19" spans="1:391" s="29" customFormat="1" ht="24.75" customHeight="1" x14ac:dyDescent="0.45">
      <c r="A19" s="271" t="s">
        <v>103</v>
      </c>
      <c r="B19" s="272"/>
      <c r="C19" s="137">
        <f>'1º QUA 2022 - BASE ABERT TJ'!K42</f>
        <v>0</v>
      </c>
      <c r="D19" s="137">
        <f>'1º QUA 2022 - BASE ABERT TJ'!D43</f>
        <v>0</v>
      </c>
      <c r="E19" s="137">
        <f>'1º QUA 2022 - BASE ABERT TJ'!E43</f>
        <v>0</v>
      </c>
      <c r="F19" s="137">
        <f>'1º QUA 2022 - BASE ABERT TJ'!F43</f>
        <v>0</v>
      </c>
      <c r="G19" s="137">
        <f>'1º QUA 2022 - BASE ABERT TJ'!G43</f>
        <v>0</v>
      </c>
      <c r="H19" s="137">
        <f>'1º QUA 2022 - BASE ABERT TJ'!H43</f>
        <v>0</v>
      </c>
      <c r="I19" s="137">
        <f>'1º QUA 2022 - BASE ABERT TJ'!I43</f>
        <v>0</v>
      </c>
      <c r="J19" s="137">
        <f>'1º QUA 2022 - BASE ABERT TJ'!J43</f>
        <v>0</v>
      </c>
      <c r="K19" s="137">
        <f>'1º QUA 2022 - BASE ABERT TJ'!K43</f>
        <v>0</v>
      </c>
      <c r="L19" s="137">
        <f>'1º QUA 2022 - BASE ABERT TJ'!L43</f>
        <v>0</v>
      </c>
      <c r="M19" s="137">
        <f>'1º QUA 2022 - BASE ABERT TJ'!M43</f>
        <v>0</v>
      </c>
      <c r="N19" s="137">
        <f>'1º QUA 2022 - BASE ABERT TJ'!N43</f>
        <v>0</v>
      </c>
      <c r="O19" s="137">
        <f>'1º QUA 2022 - BASE ABERT TJ'!O43</f>
        <v>0</v>
      </c>
      <c r="P19" s="124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</row>
    <row r="20" spans="1:391" s="57" customFormat="1" ht="27.75" customHeight="1" x14ac:dyDescent="0.4">
      <c r="A20" s="275" t="s">
        <v>45</v>
      </c>
      <c r="B20" s="275"/>
      <c r="C20" s="138">
        <f t="shared" ref="C20:J20" si="6">C21+C22+C23+C24</f>
        <v>14895046.59</v>
      </c>
      <c r="D20" s="138">
        <f t="shared" si="6"/>
        <v>14887603.030000001</v>
      </c>
      <c r="E20" s="138">
        <f t="shared" si="6"/>
        <v>15009704.389999999</v>
      </c>
      <c r="F20" s="138">
        <f t="shared" si="6"/>
        <v>16675207.670000002</v>
      </c>
      <c r="G20" s="138">
        <f t="shared" si="6"/>
        <v>20121270.349999998</v>
      </c>
      <c r="H20" s="138">
        <f t="shared" si="6"/>
        <v>19916994.84</v>
      </c>
      <c r="I20" s="138">
        <f t="shared" si="6"/>
        <v>18362712.050000001</v>
      </c>
      <c r="J20" s="138">
        <f t="shared" si="6"/>
        <v>75110578.520000011</v>
      </c>
      <c r="K20" s="138">
        <f t="shared" ref="K20:N20" si="7">K21+K22+K23+K24</f>
        <v>16384555.08</v>
      </c>
      <c r="L20" s="138">
        <f t="shared" si="7"/>
        <v>16152691.15</v>
      </c>
      <c r="M20" s="138">
        <f t="shared" si="7"/>
        <v>16428308.149999999</v>
      </c>
      <c r="N20" s="138">
        <f t="shared" si="7"/>
        <v>15996445.77</v>
      </c>
      <c r="O20" s="138">
        <f t="shared" ref="O20" si="8">O21+O22+O23+O24</f>
        <v>259941117.58999997</v>
      </c>
      <c r="P20" s="12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</row>
    <row r="21" spans="1:391" s="59" customFormat="1" ht="24.75" customHeight="1" x14ac:dyDescent="0.25">
      <c r="A21" s="276" t="s">
        <v>40</v>
      </c>
      <c r="B21" s="276"/>
      <c r="C21" s="139">
        <f>'1º QUA 2022 - BASE ABERT TJ'!C45</f>
        <v>0</v>
      </c>
      <c r="D21" s="139">
        <f>'1º QUA 2022 - BASE ABERT TJ'!D45</f>
        <v>0</v>
      </c>
      <c r="E21" s="139">
        <f>'1º QUA 2022 - BASE ABERT TJ'!E45</f>
        <v>0</v>
      </c>
      <c r="F21" s="139">
        <f>'1º QUA 2022 - BASE ABERT TJ'!F45</f>
        <v>0</v>
      </c>
      <c r="G21" s="139">
        <f>'1º QUA 2022 - BASE ABERT TJ'!G45</f>
        <v>0</v>
      </c>
      <c r="H21" s="139">
        <f>'1º QUA 2022 - BASE ABERT TJ'!H45</f>
        <v>0</v>
      </c>
      <c r="I21" s="139">
        <f>'1º QUA 2022 - BASE ABERT TJ'!I45</f>
        <v>0</v>
      </c>
      <c r="J21" s="139">
        <f>'1º QUA 2022 - BASE ABERT TJ'!J45</f>
        <v>0</v>
      </c>
      <c r="K21" s="139">
        <f>'1º QUA 2022 - BASE ABERT TJ'!K45</f>
        <v>0</v>
      </c>
      <c r="L21" s="139">
        <f>'1º QUA 2022 - BASE ABERT TJ'!L45</f>
        <v>0</v>
      </c>
      <c r="M21" s="139">
        <f>'1º QUA 2022 - BASE ABERT TJ'!M45</f>
        <v>0</v>
      </c>
      <c r="N21" s="139">
        <f>'1º QUA 2022 - BASE ABERT TJ'!N45</f>
        <v>0</v>
      </c>
      <c r="O21" s="139">
        <f>SUM(C21:N21)</f>
        <v>0</v>
      </c>
      <c r="P21" s="12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  <c r="KS21" s="58"/>
      <c r="KT21" s="58"/>
      <c r="KU21" s="58"/>
      <c r="KV21" s="58"/>
      <c r="KW21" s="58"/>
      <c r="KX21" s="58"/>
      <c r="KY21" s="58"/>
      <c r="KZ21" s="58"/>
      <c r="LA21" s="58"/>
      <c r="LB21" s="58"/>
      <c r="LC21" s="58"/>
      <c r="LD21" s="58"/>
      <c r="LE21" s="58"/>
      <c r="LF21" s="58"/>
      <c r="LG21" s="58"/>
      <c r="LH21" s="58"/>
      <c r="LI21" s="58"/>
      <c r="LJ21" s="58"/>
      <c r="LK21" s="58"/>
      <c r="LL21" s="58"/>
      <c r="LM21" s="58"/>
      <c r="LN21" s="58"/>
      <c r="LO21" s="58"/>
      <c r="LP21" s="58"/>
      <c r="LQ21" s="58"/>
      <c r="LR21" s="58"/>
      <c r="LS21" s="58"/>
      <c r="LT21" s="58"/>
      <c r="LU21" s="58"/>
      <c r="LV21" s="58"/>
      <c r="LW21" s="58"/>
      <c r="LX21" s="58"/>
      <c r="LY21" s="58"/>
      <c r="LZ21" s="58"/>
      <c r="MA21" s="58"/>
      <c r="MB21" s="58"/>
      <c r="MC21" s="58"/>
      <c r="MD21" s="58"/>
      <c r="ME21" s="58"/>
      <c r="MF21" s="58"/>
      <c r="MG21" s="58"/>
      <c r="MH21" s="58"/>
      <c r="MI21" s="58"/>
      <c r="MJ21" s="58"/>
      <c r="MK21" s="58"/>
      <c r="ML21" s="58"/>
      <c r="MM21" s="58"/>
      <c r="MN21" s="58"/>
      <c r="MO21" s="58"/>
      <c r="MP21" s="58"/>
      <c r="MQ21" s="58"/>
      <c r="MR21" s="58"/>
      <c r="MS21" s="58"/>
      <c r="MT21" s="58"/>
      <c r="MU21" s="58"/>
      <c r="MV21" s="58"/>
      <c r="MW21" s="58"/>
      <c r="MX21" s="58"/>
      <c r="MY21" s="58"/>
      <c r="MZ21" s="58"/>
      <c r="NA21" s="58"/>
      <c r="NB21" s="58"/>
      <c r="NC21" s="58"/>
      <c r="ND21" s="58"/>
      <c r="NE21" s="58"/>
      <c r="NF21" s="58"/>
      <c r="NG21" s="58"/>
      <c r="NH21" s="58"/>
      <c r="NI21" s="58"/>
      <c r="NJ21" s="58"/>
      <c r="NK21" s="58"/>
      <c r="NL21" s="58"/>
      <c r="NM21" s="58"/>
      <c r="NN21" s="58"/>
      <c r="NO21" s="58"/>
      <c r="NP21" s="58"/>
      <c r="NQ21" s="58"/>
      <c r="NR21" s="58"/>
      <c r="NS21" s="58"/>
      <c r="NT21" s="58"/>
      <c r="NU21" s="58"/>
      <c r="NV21" s="58"/>
      <c r="NW21" s="58"/>
      <c r="NX21" s="58"/>
      <c r="NY21" s="58"/>
      <c r="NZ21" s="58"/>
      <c r="OA21" s="58"/>
    </row>
    <row r="22" spans="1:391" s="59" customFormat="1" ht="26.25" customHeight="1" x14ac:dyDescent="0.25">
      <c r="A22" s="276" t="s">
        <v>101</v>
      </c>
      <c r="B22" s="276"/>
      <c r="C22" s="139">
        <f>'1º QUA 2022 - BASE ABERT TJ'!C47</f>
        <v>100931.84</v>
      </c>
      <c r="D22" s="139">
        <f>'1º QUA 2022 - BASE ABERT TJ'!D47</f>
        <v>100931.84</v>
      </c>
      <c r="E22" s="139">
        <f>'1º QUA 2022 - BASE ABERT TJ'!E47</f>
        <v>100931.84</v>
      </c>
      <c r="F22" s="139">
        <f>'1º QUA 2022 - BASE ABERT TJ'!F47</f>
        <v>100931.84</v>
      </c>
      <c r="G22" s="139">
        <f>'1º QUA 2022 - BASE ABERT TJ'!G47</f>
        <v>100931.84</v>
      </c>
      <c r="H22" s="139">
        <f>'1º QUA 2022 - BASE ABERT TJ'!H47</f>
        <v>100931.84</v>
      </c>
      <c r="I22" s="139">
        <f>'1º QUA 2022 - BASE ABERT TJ'!I47</f>
        <v>100931.84</v>
      </c>
      <c r="J22" s="139">
        <f>'1º QUA 2022 - BASE ABERT TJ'!J47</f>
        <v>220821.29</v>
      </c>
      <c r="K22" s="139">
        <f>'1º QUA 2022 - BASE ABERT TJ'!K47</f>
        <v>110782.06</v>
      </c>
      <c r="L22" s="139">
        <f>'1º QUA 2022 - BASE ABERT TJ'!L47</f>
        <v>120852.9</v>
      </c>
      <c r="M22" s="139">
        <f>'1º QUA 2022 - BASE ABERT TJ'!M47</f>
        <v>130180.95</v>
      </c>
      <c r="N22" s="139">
        <f>'1º QUA 2022 - BASE ABERT TJ'!N47</f>
        <v>130180.95</v>
      </c>
      <c r="O22" s="139">
        <f>SUM(C22:N22)</f>
        <v>1419341.0299999998</v>
      </c>
      <c r="P22" s="12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</row>
    <row r="23" spans="1:391" s="63" customFormat="1" ht="25.5" customHeight="1" x14ac:dyDescent="0.45">
      <c r="A23" s="276" t="s">
        <v>102</v>
      </c>
      <c r="B23" s="276"/>
      <c r="C23" s="139">
        <f>'1º QUA 2022 - BASE ABERT TJ'!C49</f>
        <v>686962.52</v>
      </c>
      <c r="D23" s="139">
        <f>'1º QUA 2022 - BASE ABERT TJ'!D49</f>
        <v>658750.20000000007</v>
      </c>
      <c r="E23" s="139">
        <f>'1º QUA 2022 - BASE ABERT TJ'!E49</f>
        <v>638055.01</v>
      </c>
      <c r="F23" s="139">
        <f>'1º QUA 2022 - BASE ABERT TJ'!F49</f>
        <v>2204311.71</v>
      </c>
      <c r="G23" s="139">
        <f>'1º QUA 2022 - BASE ABERT TJ'!G49</f>
        <v>404462.39</v>
      </c>
      <c r="H23" s="139">
        <f>'1º QUA 2022 - BASE ABERT TJ'!H49</f>
        <v>3682813.77</v>
      </c>
      <c r="I23" s="139">
        <f>'1º QUA 2022 - BASE ABERT TJ'!I49</f>
        <v>3070001.93</v>
      </c>
      <c r="J23" s="139">
        <f>'1º QUA 2022 - BASE ABERT TJ'!J49</f>
        <v>52941719.490000002</v>
      </c>
      <c r="K23" s="139">
        <f>'1º QUA 2022 - BASE ABERT TJ'!K49</f>
        <v>816354.45</v>
      </c>
      <c r="L23" s="139">
        <f>'1º QUA 2022 - BASE ABERT TJ'!L49</f>
        <v>510304.41000000003</v>
      </c>
      <c r="M23" s="139">
        <f>'1º QUA 2022 - BASE ABERT TJ'!M49</f>
        <v>777289.73</v>
      </c>
      <c r="N23" s="139">
        <f>'1º QUA 2022 - BASE ABERT TJ'!N49</f>
        <v>592852.62</v>
      </c>
      <c r="O23" s="139">
        <f>SUM(C23:N23)</f>
        <v>66983878.229999997</v>
      </c>
      <c r="P23" s="1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</row>
    <row r="24" spans="1:391" s="64" customFormat="1" ht="21.75" customHeight="1" thickBot="1" x14ac:dyDescent="0.3">
      <c r="A24" s="277" t="s">
        <v>41</v>
      </c>
      <c r="B24" s="277"/>
      <c r="C24" s="140">
        <f>'1º QUA 2022 - BASE ABERT TJ'!C51</f>
        <v>14107152.23</v>
      </c>
      <c r="D24" s="140">
        <f>'1º QUA 2022 - BASE ABERT TJ'!D51</f>
        <v>14127920.99</v>
      </c>
      <c r="E24" s="140">
        <f>'1º QUA 2022 - BASE ABERT TJ'!E51</f>
        <v>14270717.539999999</v>
      </c>
      <c r="F24" s="140">
        <f>'1º QUA 2022 - BASE ABERT TJ'!F51</f>
        <v>14369964.120000001</v>
      </c>
      <c r="G24" s="140">
        <f>'1º QUA 2022 - BASE ABERT TJ'!G51</f>
        <v>19615876.119999997</v>
      </c>
      <c r="H24" s="140">
        <f>'1º QUA 2022 - BASE ABERT TJ'!H51</f>
        <v>16133249.23</v>
      </c>
      <c r="I24" s="140">
        <f>'1º QUA 2022 - BASE ABERT TJ'!I51</f>
        <v>15191778.280000001</v>
      </c>
      <c r="J24" s="140">
        <f>'1º QUA 2022 - BASE ABERT TJ'!J51</f>
        <v>21948037.740000002</v>
      </c>
      <c r="K24" s="140">
        <f>'1º QUA 2022 - BASE ABERT TJ'!K51</f>
        <v>15457418.57</v>
      </c>
      <c r="L24" s="140">
        <f>'1º QUA 2022 - BASE ABERT TJ'!L51</f>
        <v>15521533.84</v>
      </c>
      <c r="M24" s="140">
        <f>'1º QUA 2022 - BASE ABERT TJ'!M51</f>
        <v>15520837.469999999</v>
      </c>
      <c r="N24" s="140">
        <f>'1º QUA 2022 - BASE ABERT TJ'!N51</f>
        <v>15273412.199999999</v>
      </c>
      <c r="O24" s="139">
        <f>SUM(C24:N24)</f>
        <v>191537898.32999998</v>
      </c>
      <c r="P24" s="12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</row>
    <row r="25" spans="1:391" s="66" customFormat="1" ht="22.5" customHeight="1" thickTop="1" thickBot="1" x14ac:dyDescent="0.5">
      <c r="A25" s="256" t="s">
        <v>42</v>
      </c>
      <c r="B25" s="256"/>
      <c r="C25" s="131">
        <f t="shared" ref="C25:J25" si="9">C11-C20</f>
        <v>57138651.949999988</v>
      </c>
      <c r="D25" s="131">
        <f t="shared" si="9"/>
        <v>99170608.23999998</v>
      </c>
      <c r="E25" s="131">
        <f t="shared" si="9"/>
        <v>78016809.390000001</v>
      </c>
      <c r="F25" s="131">
        <f t="shared" si="9"/>
        <v>78609029.459999993</v>
      </c>
      <c r="G25" s="131">
        <f t="shared" si="9"/>
        <v>77346524.979999989</v>
      </c>
      <c r="H25" s="131">
        <f t="shared" si="9"/>
        <v>78737937.800000012</v>
      </c>
      <c r="I25" s="131">
        <f t="shared" si="9"/>
        <v>131428581.64000003</v>
      </c>
      <c r="J25" s="131">
        <f t="shared" si="9"/>
        <v>112930258.69999996</v>
      </c>
      <c r="K25" s="131">
        <f t="shared" ref="K25:N25" si="10">K11-K20</f>
        <v>61305471.13000001</v>
      </c>
      <c r="L25" s="131">
        <f t="shared" si="10"/>
        <v>106332668.19000001</v>
      </c>
      <c r="M25" s="131">
        <f t="shared" si="10"/>
        <v>62507381.899999999</v>
      </c>
      <c r="N25" s="131">
        <f t="shared" si="10"/>
        <v>87755834.579999998</v>
      </c>
      <c r="O25" s="141">
        <f>O11-O20</f>
        <v>1031279757.9600003</v>
      </c>
      <c r="P25" s="127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</row>
    <row r="26" spans="1:391" s="75" customFormat="1" ht="7.5" customHeight="1" thickTop="1" thickBot="1" x14ac:dyDescent="0.5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</row>
    <row r="27" spans="1:391" s="66" customFormat="1" ht="18.75" customHeight="1" thickTop="1" thickBot="1" x14ac:dyDescent="0.5">
      <c r="A27" s="256" t="s">
        <v>4</v>
      </c>
      <c r="B27" s="256"/>
      <c r="C27" s="274" t="s">
        <v>80</v>
      </c>
      <c r="D27" s="274"/>
      <c r="E27" s="274"/>
      <c r="F27" s="274"/>
      <c r="G27" s="274"/>
      <c r="H27" s="274"/>
      <c r="I27" s="274"/>
      <c r="J27" s="274" t="s">
        <v>37</v>
      </c>
      <c r="K27" s="274"/>
      <c r="L27" s="274"/>
      <c r="M27" s="274"/>
      <c r="N27" s="274"/>
      <c r="O27" s="274"/>
      <c r="P27" s="274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</row>
    <row r="28" spans="1:391" s="77" customFormat="1" ht="19.5" thickTop="1" thickBot="1" x14ac:dyDescent="0.3">
      <c r="A28" s="250" t="s">
        <v>34</v>
      </c>
      <c r="B28" s="250"/>
      <c r="C28" s="260">
        <f>'1º QUA 2022 - BASE ABERT TJ'!O62</f>
        <v>29863702059.52</v>
      </c>
      <c r="D28" s="260"/>
      <c r="E28" s="260"/>
      <c r="F28" s="260"/>
      <c r="G28" s="260"/>
      <c r="H28" s="260"/>
      <c r="I28" s="260"/>
      <c r="J28" s="262"/>
      <c r="K28" s="262"/>
      <c r="L28" s="262"/>
      <c r="M28" s="262"/>
      <c r="N28" s="262"/>
      <c r="O28" s="262"/>
      <c r="P28" s="262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</row>
    <row r="29" spans="1:391" s="77" customFormat="1" ht="31.5" customHeight="1" thickTop="1" thickBot="1" x14ac:dyDescent="0.3">
      <c r="A29" s="250" t="s">
        <v>113</v>
      </c>
      <c r="B29" s="250"/>
      <c r="C29" s="260">
        <f>'1º QUA 2022 - BASE ABERT TJ'!O63</f>
        <v>12990666</v>
      </c>
      <c r="D29" s="260"/>
      <c r="E29" s="260"/>
      <c r="F29" s="260"/>
      <c r="G29" s="260"/>
      <c r="H29" s="260"/>
      <c r="I29" s="260"/>
      <c r="J29" s="263"/>
      <c r="K29" s="264"/>
      <c r="L29" s="264"/>
      <c r="M29" s="264"/>
      <c r="N29" s="264"/>
      <c r="O29" s="264"/>
      <c r="P29" s="26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  <c r="JA29" s="67"/>
      <c r="JB29" s="67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  <c r="JV29" s="67"/>
      <c r="JW29" s="67"/>
      <c r="JX29" s="67"/>
      <c r="JY29" s="67"/>
      <c r="JZ29" s="67"/>
      <c r="KA29" s="67"/>
      <c r="KB29" s="67"/>
      <c r="KC29" s="67"/>
      <c r="KD29" s="67"/>
      <c r="KE29" s="67"/>
      <c r="KF29" s="67"/>
      <c r="KG29" s="67"/>
      <c r="KH29" s="67"/>
      <c r="KI29" s="67"/>
      <c r="KJ29" s="67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7"/>
      <c r="LO29" s="67"/>
      <c r="LP29" s="67"/>
      <c r="LQ29" s="67"/>
      <c r="LR29" s="67"/>
      <c r="LS29" s="67"/>
      <c r="LT29" s="67"/>
      <c r="LU29" s="67"/>
      <c r="LV29" s="67"/>
      <c r="LW29" s="67"/>
      <c r="LX29" s="67"/>
      <c r="LY29" s="67"/>
      <c r="LZ29" s="67"/>
      <c r="MA29" s="67"/>
      <c r="MB29" s="67"/>
      <c r="MC29" s="67"/>
      <c r="MD29" s="67"/>
      <c r="ME29" s="67"/>
      <c r="MF29" s="67"/>
      <c r="MG29" s="67"/>
      <c r="MH29" s="67"/>
      <c r="MI29" s="67"/>
      <c r="MJ29" s="67"/>
      <c r="MK29" s="67"/>
      <c r="ML29" s="67"/>
      <c r="MM29" s="67"/>
      <c r="MN29" s="67"/>
      <c r="MO29" s="67"/>
      <c r="MP29" s="67"/>
      <c r="MQ29" s="67"/>
      <c r="MR29" s="67"/>
      <c r="MS29" s="67"/>
      <c r="MT29" s="67"/>
      <c r="MU29" s="67"/>
      <c r="MV29" s="67"/>
      <c r="MW29" s="67"/>
      <c r="MX29" s="67"/>
      <c r="MY29" s="67"/>
      <c r="MZ29" s="67"/>
      <c r="NA29" s="67"/>
      <c r="NB29" s="67"/>
      <c r="NC29" s="67"/>
      <c r="ND29" s="67"/>
      <c r="NE29" s="67"/>
      <c r="NF29" s="67"/>
      <c r="NG29" s="67"/>
      <c r="NH29" s="67"/>
      <c r="NI29" s="67"/>
      <c r="NJ29" s="67"/>
      <c r="NK29" s="67"/>
      <c r="NL29" s="67"/>
      <c r="NM29" s="67"/>
      <c r="NN29" s="67"/>
      <c r="NO29" s="67"/>
      <c r="NP29" s="67"/>
      <c r="NQ29" s="67"/>
      <c r="NR29" s="67"/>
      <c r="NS29" s="67"/>
      <c r="NT29" s="67"/>
      <c r="NU29" s="67"/>
      <c r="NV29" s="67"/>
      <c r="NW29" s="67"/>
    </row>
    <row r="30" spans="1:391" s="77" customFormat="1" ht="31.5" customHeight="1" thickTop="1" thickBot="1" x14ac:dyDescent="0.3">
      <c r="A30" s="250" t="s">
        <v>104</v>
      </c>
      <c r="B30" s="250"/>
      <c r="C30" s="260">
        <f>'1º QUA 2022 - BASE ABERT TJ'!O64</f>
        <v>72414523</v>
      </c>
      <c r="D30" s="260"/>
      <c r="E30" s="260"/>
      <c r="F30" s="260"/>
      <c r="G30" s="260"/>
      <c r="H30" s="260"/>
      <c r="I30" s="260"/>
      <c r="J30" s="266"/>
      <c r="K30" s="267"/>
      <c r="L30" s="267"/>
      <c r="M30" s="267"/>
      <c r="N30" s="267"/>
      <c r="O30" s="267"/>
      <c r="P30" s="268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/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67"/>
      <c r="MU30" s="67"/>
      <c r="MV30" s="67"/>
      <c r="MW30" s="67"/>
      <c r="MX30" s="67"/>
      <c r="MY30" s="67"/>
      <c r="MZ30" s="67"/>
      <c r="NA30" s="67"/>
      <c r="NB30" s="67"/>
      <c r="NC30" s="67"/>
      <c r="ND30" s="67"/>
      <c r="NE30" s="67"/>
      <c r="NF30" s="67"/>
      <c r="NG30" s="67"/>
      <c r="NH30" s="67"/>
      <c r="NI30" s="67"/>
      <c r="NJ30" s="67"/>
      <c r="NK30" s="67"/>
      <c r="NL30" s="67"/>
      <c r="NM30" s="67"/>
      <c r="NN30" s="67"/>
      <c r="NO30" s="67"/>
      <c r="NP30" s="67"/>
      <c r="NQ30" s="67"/>
      <c r="NR30" s="67"/>
      <c r="NS30" s="67"/>
      <c r="NT30" s="67"/>
      <c r="NU30" s="67"/>
      <c r="NV30" s="67"/>
      <c r="NW30" s="67"/>
    </row>
    <row r="31" spans="1:391" s="77" customFormat="1" ht="39.75" customHeight="1" thickTop="1" thickBot="1" x14ac:dyDescent="0.3">
      <c r="A31" s="269" t="s">
        <v>110</v>
      </c>
      <c r="B31" s="269"/>
      <c r="C31" s="260">
        <f>'1º QUA 2022 - BASE ABERT TJ'!O65</f>
        <v>29778296870.52</v>
      </c>
      <c r="D31" s="260"/>
      <c r="E31" s="260"/>
      <c r="F31" s="260"/>
      <c r="G31" s="260"/>
      <c r="H31" s="260"/>
      <c r="I31" s="260"/>
      <c r="J31" s="263"/>
      <c r="K31" s="264"/>
      <c r="L31" s="264"/>
      <c r="M31" s="264"/>
      <c r="N31" s="264"/>
      <c r="O31" s="264"/>
      <c r="P31" s="26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</row>
    <row r="32" spans="1:391" s="69" customFormat="1" ht="24" customHeight="1" thickTop="1" x14ac:dyDescent="0.25">
      <c r="A32" s="270" t="s">
        <v>111</v>
      </c>
      <c r="B32" s="270"/>
      <c r="C32" s="261">
        <f>O25</f>
        <v>1031279757.9600003</v>
      </c>
      <c r="D32" s="261"/>
      <c r="E32" s="261"/>
      <c r="F32" s="261"/>
      <c r="G32" s="261"/>
      <c r="H32" s="261"/>
      <c r="I32" s="261"/>
      <c r="J32" s="261">
        <f>O25*100/C31</f>
        <v>3.463192547391619</v>
      </c>
      <c r="K32" s="261"/>
      <c r="L32" s="261"/>
      <c r="M32" s="261"/>
      <c r="N32" s="261"/>
      <c r="O32" s="261"/>
      <c r="P32" s="261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8"/>
      <c r="JV32" s="68"/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  <c r="KN32" s="68"/>
      <c r="KO32" s="68"/>
      <c r="KP32" s="68"/>
      <c r="KQ32" s="68"/>
      <c r="KR32" s="68"/>
      <c r="KS32" s="68"/>
      <c r="KT32" s="68"/>
      <c r="KU32" s="68"/>
      <c r="KV32" s="68"/>
      <c r="KW32" s="68"/>
      <c r="KX32" s="68"/>
      <c r="KY32" s="68"/>
      <c r="KZ32" s="68"/>
      <c r="LA32" s="68"/>
      <c r="LB32" s="68"/>
      <c r="LC32" s="68"/>
      <c r="LD32" s="68"/>
      <c r="LE32" s="68"/>
      <c r="LF32" s="68"/>
      <c r="LG32" s="68"/>
      <c r="LH32" s="68"/>
      <c r="LI32" s="68"/>
      <c r="LJ32" s="68"/>
      <c r="LK32" s="68"/>
      <c r="LL32" s="68"/>
      <c r="LM32" s="68"/>
      <c r="LN32" s="68"/>
      <c r="LO32" s="68"/>
      <c r="LP32" s="68"/>
      <c r="LQ32" s="68"/>
      <c r="LR32" s="68"/>
      <c r="LS32" s="68"/>
      <c r="LT32" s="68"/>
      <c r="LU32" s="68"/>
      <c r="LV32" s="68"/>
      <c r="LW32" s="68"/>
      <c r="LX32" s="68"/>
      <c r="LY32" s="68"/>
      <c r="LZ32" s="68"/>
      <c r="MA32" s="68"/>
      <c r="MB32" s="68"/>
      <c r="MC32" s="68"/>
      <c r="MD32" s="68"/>
      <c r="ME32" s="68"/>
      <c r="MF32" s="68"/>
      <c r="MG32" s="68"/>
      <c r="MH32" s="68"/>
      <c r="MI32" s="68"/>
      <c r="MJ32" s="68"/>
      <c r="MK32" s="68"/>
      <c r="ML32" s="68"/>
      <c r="MM32" s="68"/>
      <c r="MN32" s="68"/>
      <c r="MO32" s="68"/>
      <c r="MP32" s="68"/>
      <c r="MQ32" s="68"/>
      <c r="MR32" s="68"/>
      <c r="MS32" s="68"/>
      <c r="MT32" s="68"/>
      <c r="MU32" s="68"/>
      <c r="MV32" s="68"/>
      <c r="MW32" s="68"/>
      <c r="MX32" s="68"/>
      <c r="MY32" s="68"/>
      <c r="MZ32" s="68"/>
      <c r="NA32" s="68"/>
      <c r="NB32" s="68"/>
      <c r="NC32" s="68"/>
      <c r="ND32" s="68"/>
      <c r="NE32" s="68"/>
      <c r="NF32" s="68"/>
      <c r="NG32" s="68"/>
      <c r="NH32" s="68"/>
      <c r="NI32" s="68"/>
      <c r="NJ32" s="68"/>
      <c r="NK32" s="68"/>
      <c r="NL32" s="68"/>
      <c r="NM32" s="68"/>
      <c r="NN32" s="68"/>
      <c r="NO32" s="68"/>
      <c r="NP32" s="68"/>
      <c r="NQ32" s="68"/>
      <c r="NR32" s="68"/>
      <c r="NS32" s="68"/>
      <c r="NT32" s="68"/>
      <c r="NU32" s="68"/>
      <c r="NV32" s="68"/>
      <c r="NW32" s="68"/>
    </row>
    <row r="33" spans="1:215" s="19" customFormat="1" ht="24.75" customHeight="1" x14ac:dyDescent="0.2">
      <c r="A33" s="251" t="s">
        <v>43</v>
      </c>
      <c r="B33" s="251"/>
      <c r="C33" s="259">
        <f>C31/100*J33</f>
        <v>1786697812.2312002</v>
      </c>
      <c r="D33" s="259"/>
      <c r="E33" s="259"/>
      <c r="F33" s="259"/>
      <c r="G33" s="259"/>
      <c r="H33" s="259"/>
      <c r="I33" s="259"/>
      <c r="J33" s="259">
        <v>6</v>
      </c>
      <c r="K33" s="259"/>
      <c r="L33" s="259"/>
      <c r="M33" s="259"/>
      <c r="N33" s="259"/>
      <c r="O33" s="259"/>
      <c r="P33" s="259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</row>
    <row r="34" spans="1:215" ht="30.75" customHeight="1" x14ac:dyDescent="0.2">
      <c r="A34" s="251" t="s">
        <v>35</v>
      </c>
      <c r="B34" s="251"/>
      <c r="C34" s="259">
        <f>C31/100*J34</f>
        <v>1697362921.6196401</v>
      </c>
      <c r="D34" s="259"/>
      <c r="E34" s="259"/>
      <c r="F34" s="259"/>
      <c r="G34" s="259"/>
      <c r="H34" s="259"/>
      <c r="I34" s="259"/>
      <c r="J34" s="259">
        <v>5.7</v>
      </c>
      <c r="K34" s="259"/>
      <c r="L34" s="259"/>
      <c r="M34" s="259"/>
      <c r="N34" s="259"/>
      <c r="O34" s="259"/>
      <c r="P34" s="259"/>
    </row>
    <row r="35" spans="1:215" ht="27.75" customHeight="1" x14ac:dyDescent="0.2">
      <c r="A35" s="251" t="s">
        <v>44</v>
      </c>
      <c r="B35" s="251"/>
      <c r="C35" s="259">
        <f>C31/100*J35</f>
        <v>1608028031.0080802</v>
      </c>
      <c r="D35" s="259"/>
      <c r="E35" s="259"/>
      <c r="F35" s="259"/>
      <c r="G35" s="259"/>
      <c r="H35" s="259"/>
      <c r="I35" s="259"/>
      <c r="J35" s="259">
        <v>5.4</v>
      </c>
      <c r="K35" s="259"/>
      <c r="L35" s="259"/>
      <c r="M35" s="259"/>
      <c r="N35" s="259"/>
      <c r="O35" s="259"/>
      <c r="P35" s="259"/>
    </row>
    <row r="36" spans="1:215" x14ac:dyDescent="0.2">
      <c r="A36" s="258" t="s">
        <v>138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</row>
    <row r="37" spans="1:215" x14ac:dyDescent="0.2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</row>
    <row r="38" spans="1:21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</row>
    <row r="39" spans="1:215" ht="27" customHeight="1" x14ac:dyDescent="0.25">
      <c r="A39" s="257" t="s">
        <v>88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</row>
    <row r="40" spans="1:215" ht="18.75" customHeight="1" x14ac:dyDescent="0.25">
      <c r="A40" s="257" t="s">
        <v>79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1:215" ht="15" x14ac:dyDescent="0.25">
      <c r="A41" s="257" t="s">
        <v>89</v>
      </c>
      <c r="B41" s="257"/>
      <c r="C41" s="257"/>
      <c r="D41" s="257"/>
      <c r="E41" s="142"/>
      <c r="F41" s="142"/>
      <c r="G41" s="142"/>
      <c r="H41" s="142"/>
      <c r="I41" s="142"/>
      <c r="J41" s="257" t="s">
        <v>91</v>
      </c>
      <c r="K41" s="257"/>
      <c r="L41" s="257"/>
      <c r="M41" s="257"/>
      <c r="N41" s="257"/>
      <c r="O41" s="257"/>
      <c r="P41" s="257"/>
    </row>
    <row r="42" spans="1:215" ht="18" customHeight="1" x14ac:dyDescent="0.25">
      <c r="A42" s="257" t="s">
        <v>90</v>
      </c>
      <c r="B42" s="257"/>
      <c r="C42" s="257"/>
      <c r="D42" s="257"/>
      <c r="E42" s="143"/>
      <c r="F42" s="142"/>
      <c r="G42" s="143"/>
      <c r="H42" s="143"/>
      <c r="I42" s="143"/>
      <c r="J42" s="257" t="s">
        <v>92</v>
      </c>
      <c r="K42" s="257"/>
      <c r="L42" s="257"/>
      <c r="M42" s="257"/>
      <c r="N42" s="257"/>
      <c r="O42" s="257"/>
      <c r="P42" s="257"/>
    </row>
    <row r="43" spans="1:215" x14ac:dyDescent="0.2">
      <c r="O43"/>
    </row>
    <row r="44" spans="1:215" x14ac:dyDescent="0.2">
      <c r="O44"/>
    </row>
    <row r="45" spans="1:215" x14ac:dyDescent="0.2">
      <c r="O45"/>
    </row>
    <row r="46" spans="1:215" x14ac:dyDescent="0.2">
      <c r="O46"/>
    </row>
    <row r="47" spans="1:215" x14ac:dyDescent="0.2">
      <c r="O47"/>
    </row>
    <row r="48" spans="1:215" x14ac:dyDescent="0.2">
      <c r="O48"/>
    </row>
    <row r="49" spans="15:15" x14ac:dyDescent="0.2">
      <c r="O49"/>
    </row>
    <row r="50" spans="15:15" x14ac:dyDescent="0.2">
      <c r="O50"/>
    </row>
    <row r="51" spans="15:15" x14ac:dyDescent="0.2">
      <c r="O51"/>
    </row>
    <row r="52" spans="15:15" x14ac:dyDescent="0.2">
      <c r="O52"/>
    </row>
    <row r="53" spans="15:15" x14ac:dyDescent="0.2">
      <c r="O53"/>
    </row>
    <row r="54" spans="15:15" x14ac:dyDescent="0.2">
      <c r="O54"/>
    </row>
    <row r="55" spans="15:15" x14ac:dyDescent="0.2">
      <c r="O55"/>
    </row>
    <row r="56" spans="15:15" x14ac:dyDescent="0.2">
      <c r="O56"/>
    </row>
    <row r="57" spans="15:15" x14ac:dyDescent="0.2">
      <c r="O57"/>
    </row>
    <row r="58" spans="15:15" x14ac:dyDescent="0.2">
      <c r="O58"/>
    </row>
    <row r="59" spans="15:15" x14ac:dyDescent="0.2">
      <c r="O59"/>
    </row>
    <row r="60" spans="15:15" x14ac:dyDescent="0.2">
      <c r="O60"/>
    </row>
    <row r="61" spans="15:15" x14ac:dyDescent="0.2">
      <c r="O61"/>
    </row>
    <row r="62" spans="15:15" x14ac:dyDescent="0.2">
      <c r="O62"/>
    </row>
    <row r="63" spans="15:15" x14ac:dyDescent="0.2">
      <c r="O63"/>
    </row>
    <row r="64" spans="15:15" x14ac:dyDescent="0.2">
      <c r="O64"/>
    </row>
    <row r="65" spans="15:15" x14ac:dyDescent="0.2">
      <c r="O65"/>
    </row>
    <row r="66" spans="15:15" x14ac:dyDescent="0.2">
      <c r="O66"/>
    </row>
    <row r="67" spans="15:15" x14ac:dyDescent="0.2">
      <c r="O67"/>
    </row>
    <row r="68" spans="15:15" x14ac:dyDescent="0.2">
      <c r="O68"/>
    </row>
    <row r="69" spans="15:15" x14ac:dyDescent="0.2">
      <c r="O69"/>
    </row>
    <row r="70" spans="15:15" x14ac:dyDescent="0.2">
      <c r="O70"/>
    </row>
    <row r="71" spans="15:15" x14ac:dyDescent="0.2">
      <c r="O71"/>
    </row>
    <row r="72" spans="15:15" x14ac:dyDescent="0.2">
      <c r="O72"/>
    </row>
    <row r="73" spans="15:15" x14ac:dyDescent="0.2">
      <c r="O73"/>
    </row>
    <row r="74" spans="15:15" x14ac:dyDescent="0.2">
      <c r="O74"/>
    </row>
    <row r="75" spans="15:15" x14ac:dyDescent="0.2">
      <c r="O75"/>
    </row>
    <row r="76" spans="15:15" x14ac:dyDescent="0.2">
      <c r="O76"/>
    </row>
    <row r="77" spans="15:15" x14ac:dyDescent="0.2">
      <c r="O77"/>
    </row>
    <row r="78" spans="15:15" x14ac:dyDescent="0.2">
      <c r="O78"/>
    </row>
    <row r="79" spans="15:15" x14ac:dyDescent="0.2">
      <c r="O79"/>
    </row>
    <row r="80" spans="15:15" x14ac:dyDescent="0.2">
      <c r="O80"/>
    </row>
    <row r="81" spans="15:15" x14ac:dyDescent="0.2">
      <c r="O81"/>
    </row>
    <row r="82" spans="15:15" x14ac:dyDescent="0.2">
      <c r="O82"/>
    </row>
    <row r="83" spans="15:15" x14ac:dyDescent="0.2">
      <c r="O83"/>
    </row>
    <row r="84" spans="15:15" x14ac:dyDescent="0.2">
      <c r="O84"/>
    </row>
    <row r="85" spans="15:15" x14ac:dyDescent="0.2">
      <c r="O85"/>
    </row>
    <row r="86" spans="15:15" x14ac:dyDescent="0.2">
      <c r="O86"/>
    </row>
    <row r="87" spans="15:15" x14ac:dyDescent="0.2">
      <c r="O87"/>
    </row>
    <row r="88" spans="15:15" x14ac:dyDescent="0.2">
      <c r="O88"/>
    </row>
    <row r="89" spans="15:15" x14ac:dyDescent="0.2">
      <c r="O89"/>
    </row>
    <row r="90" spans="15:15" x14ac:dyDescent="0.2">
      <c r="O90"/>
    </row>
    <row r="91" spans="15:15" x14ac:dyDescent="0.2">
      <c r="O91"/>
    </row>
    <row r="92" spans="15:15" x14ac:dyDescent="0.2">
      <c r="O92"/>
    </row>
    <row r="93" spans="15:15" x14ac:dyDescent="0.2">
      <c r="O93"/>
    </row>
    <row r="94" spans="15:15" x14ac:dyDescent="0.2">
      <c r="O94"/>
    </row>
    <row r="902" spans="1:391" s="1" customForma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  <c r="IW902"/>
      <c r="IX902"/>
      <c r="IY902"/>
      <c r="IZ902"/>
      <c r="JA902"/>
      <c r="JB902"/>
      <c r="JC902"/>
      <c r="JD902"/>
      <c r="JE902"/>
      <c r="JF902"/>
      <c r="JG902"/>
      <c r="JH902"/>
      <c r="JI902"/>
      <c r="JJ902"/>
      <c r="JK902"/>
      <c r="JL902"/>
      <c r="JM902"/>
      <c r="JN902"/>
      <c r="JO902"/>
      <c r="JP902"/>
      <c r="JQ902"/>
      <c r="JR902"/>
      <c r="JS902"/>
      <c r="JT902"/>
      <c r="JU902"/>
      <c r="JV902"/>
      <c r="JW902"/>
      <c r="JX902"/>
      <c r="JY902"/>
      <c r="JZ902"/>
      <c r="KA902"/>
      <c r="KB902"/>
      <c r="KC902"/>
      <c r="KD902"/>
      <c r="KE902"/>
      <c r="KF902"/>
      <c r="KG902"/>
      <c r="KH902"/>
      <c r="KI902"/>
      <c r="KJ902"/>
      <c r="KK902"/>
      <c r="KL902"/>
      <c r="KM902"/>
      <c r="KN902"/>
      <c r="KO902"/>
      <c r="KP902"/>
      <c r="KQ902"/>
      <c r="KR902"/>
      <c r="KS902"/>
      <c r="KT902"/>
      <c r="KU902"/>
      <c r="KV902"/>
      <c r="KW902"/>
      <c r="KX902"/>
      <c r="KY902"/>
      <c r="KZ902"/>
      <c r="LA902"/>
      <c r="LB902"/>
      <c r="LC902"/>
      <c r="LD902"/>
      <c r="LE902"/>
      <c r="LF902"/>
      <c r="LG902"/>
      <c r="LH902"/>
      <c r="LI902"/>
      <c r="LJ902"/>
      <c r="LK902"/>
      <c r="LL902"/>
      <c r="LM902"/>
      <c r="LN902"/>
      <c r="LO902"/>
      <c r="LP902"/>
      <c r="LQ902"/>
      <c r="LR902"/>
      <c r="LS902"/>
      <c r="LT902"/>
      <c r="LU902"/>
      <c r="LV902"/>
      <c r="LW902"/>
      <c r="LX902"/>
      <c r="LY902"/>
      <c r="LZ902"/>
      <c r="MA902"/>
      <c r="MB902"/>
      <c r="MC902"/>
      <c r="MD902"/>
      <c r="ME902"/>
      <c r="MF902"/>
      <c r="MG902"/>
      <c r="MH902"/>
      <c r="MI902"/>
      <c r="MJ902"/>
      <c r="MK902"/>
      <c r="ML902"/>
      <c r="MM902"/>
      <c r="MN902"/>
      <c r="MO902"/>
      <c r="MP902"/>
      <c r="MQ902"/>
      <c r="MR902"/>
      <c r="MS902"/>
      <c r="MT902"/>
      <c r="MU902"/>
      <c r="MV902"/>
      <c r="MW902"/>
      <c r="MX902"/>
      <c r="MY902"/>
      <c r="MZ902"/>
      <c r="NA902"/>
      <c r="NB902"/>
      <c r="NC902"/>
      <c r="ND902"/>
      <c r="NE902"/>
      <c r="NF902"/>
      <c r="NG902"/>
      <c r="NH902"/>
      <c r="NI902"/>
      <c r="NJ902"/>
      <c r="NK902"/>
      <c r="NL902"/>
      <c r="NM902"/>
      <c r="NN902"/>
      <c r="NO902"/>
      <c r="NP902"/>
      <c r="NQ902"/>
      <c r="NR902"/>
      <c r="NS902"/>
      <c r="NT902"/>
      <c r="NU902"/>
      <c r="NV902"/>
      <c r="NW902"/>
      <c r="NX902"/>
      <c r="NY902"/>
      <c r="NZ902"/>
      <c r="OA902"/>
    </row>
  </sheetData>
  <mergeCells count="62">
    <mergeCell ref="A19:B19"/>
    <mergeCell ref="A30:B30"/>
    <mergeCell ref="C30:I30"/>
    <mergeCell ref="A29:B29"/>
    <mergeCell ref="C29:I29"/>
    <mergeCell ref="A26:P26"/>
    <mergeCell ref="A27:B27"/>
    <mergeCell ref="A28:B28"/>
    <mergeCell ref="C27:I27"/>
    <mergeCell ref="J27:P27"/>
    <mergeCell ref="A20:B20"/>
    <mergeCell ref="A21:B21"/>
    <mergeCell ref="A24:B24"/>
    <mergeCell ref="A25:B25"/>
    <mergeCell ref="A22:B22"/>
    <mergeCell ref="A23:B23"/>
    <mergeCell ref="A31:B31"/>
    <mergeCell ref="C31:I31"/>
    <mergeCell ref="J31:P31"/>
    <mergeCell ref="J34:P34"/>
    <mergeCell ref="A32:B32"/>
    <mergeCell ref="A34:B34"/>
    <mergeCell ref="A33:B33"/>
    <mergeCell ref="C28:I28"/>
    <mergeCell ref="C32:I32"/>
    <mergeCell ref="C33:I33"/>
    <mergeCell ref="C34:I34"/>
    <mergeCell ref="J28:P28"/>
    <mergeCell ref="J32:P32"/>
    <mergeCell ref="J33:P33"/>
    <mergeCell ref="J29:P29"/>
    <mergeCell ref="J30:P30"/>
    <mergeCell ref="J41:P41"/>
    <mergeCell ref="J42:P42"/>
    <mergeCell ref="A41:D41"/>
    <mergeCell ref="A42:D42"/>
    <mergeCell ref="A35:B35"/>
    <mergeCell ref="A39:P39"/>
    <mergeCell ref="A40:P40"/>
    <mergeCell ref="A36:P36"/>
    <mergeCell ref="A37:P37"/>
    <mergeCell ref="C35:I35"/>
    <mergeCell ref="J35:P35"/>
    <mergeCell ref="A6:P6"/>
    <mergeCell ref="A15:B15"/>
    <mergeCell ref="A18:B18"/>
    <mergeCell ref="A17:B17"/>
    <mergeCell ref="A16:B16"/>
    <mergeCell ref="A7:B10"/>
    <mergeCell ref="C7:P7"/>
    <mergeCell ref="C8:P8"/>
    <mergeCell ref="C9:O9"/>
    <mergeCell ref="P9:P10"/>
    <mergeCell ref="A13:B13"/>
    <mergeCell ref="A14:B14"/>
    <mergeCell ref="A11:B11"/>
    <mergeCell ref="A12:B12"/>
    <mergeCell ref="A1:P1"/>
    <mergeCell ref="A2:P2"/>
    <mergeCell ref="A3:P3"/>
    <mergeCell ref="A4:P4"/>
    <mergeCell ref="A5:P5"/>
  </mergeCells>
  <printOptions horizontalCentered="1"/>
  <pageMargins left="0.19685039370078741" right="0.19685039370078741" top="0" bottom="0" header="7.874015748031496E-2" footer="0.11811023622047245"/>
  <pageSetup paperSize="9" scale="60" firstPageNumber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A940"/>
  <sheetViews>
    <sheetView zoomScale="70" zoomScaleNormal="70" workbookViewId="0">
      <pane xSplit="2" ySplit="11" topLeftCell="C24" activePane="bottomRight" state="frozen"/>
      <selection pane="topRight" activeCell="B1" sqref="B1"/>
      <selection pane="bottomLeft" activeCell="A4" sqref="A4"/>
      <selection pane="bottomRight" activeCell="L65" sqref="L65"/>
    </sheetView>
  </sheetViews>
  <sheetFormatPr defaultRowHeight="12.75" x14ac:dyDescent="0.2"/>
  <cols>
    <col min="1" max="1" width="17" customWidth="1"/>
    <col min="2" max="2" width="30.85546875" customWidth="1"/>
    <col min="3" max="3" width="18.5703125" customWidth="1"/>
    <col min="4" max="4" width="18.140625" customWidth="1"/>
    <col min="5" max="5" width="18.85546875" customWidth="1"/>
    <col min="6" max="6" width="19" customWidth="1"/>
    <col min="7" max="7" width="18.85546875" customWidth="1"/>
    <col min="8" max="8" width="19" customWidth="1"/>
    <col min="9" max="9" width="18.7109375" customWidth="1"/>
    <col min="10" max="10" width="18.5703125" customWidth="1"/>
    <col min="11" max="11" width="18.28515625" customWidth="1"/>
    <col min="12" max="12" width="19" customWidth="1"/>
    <col min="13" max="13" width="18.42578125" customWidth="1"/>
    <col min="14" max="14" width="19.5703125" customWidth="1"/>
    <col min="15" max="15" width="19.5703125" style="1" customWidth="1"/>
    <col min="16" max="16" width="13" customWidth="1"/>
    <col min="17" max="17" width="16.7109375" customWidth="1"/>
    <col min="20" max="20" width="16.28515625" customWidth="1"/>
    <col min="21" max="21" width="27" customWidth="1"/>
  </cols>
  <sheetData>
    <row r="1" spans="1:387" s="19" customFormat="1" ht="24" customHeight="1" x14ac:dyDescent="0.3">
      <c r="A1" s="301" t="s">
        <v>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387" s="19" customFormat="1" ht="24" customHeight="1" x14ac:dyDescent="0.3">
      <c r="A2" s="301" t="s">
        <v>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pans="1:387" s="19" customFormat="1" ht="24" customHeight="1" x14ac:dyDescent="0.3">
      <c r="A3" s="301" t="s">
        <v>16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387" s="19" customFormat="1" ht="24" customHeight="1" x14ac:dyDescent="0.3">
      <c r="A4" s="301" t="s">
        <v>17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spans="1:387" s="19" customFormat="1" ht="24" customHeight="1" x14ac:dyDescent="0.3">
      <c r="A5" s="301" t="s">
        <v>128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/>
      <c r="R5"/>
      <c r="S5"/>
      <c r="T5"/>
      <c r="U5" s="81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387" s="19" customFormat="1" ht="24" customHeight="1" x14ac:dyDescent="0.3">
      <c r="A6" s="76"/>
      <c r="B6" s="76"/>
      <c r="C6" s="76"/>
      <c r="D6" s="76"/>
      <c r="E6" s="76"/>
      <c r="F6" s="76"/>
      <c r="H6" s="76"/>
      <c r="I6" s="84"/>
      <c r="J6" s="82"/>
      <c r="K6" s="82"/>
      <c r="L6" s="82"/>
      <c r="M6" s="82"/>
      <c r="N6" s="82"/>
      <c r="O6" s="7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pans="1:387" s="19" customFormat="1" ht="24" customHeight="1" thickBot="1" x14ac:dyDescent="0.35">
      <c r="A7" s="307" t="s">
        <v>18</v>
      </c>
      <c r="B7" s="307"/>
      <c r="C7" s="307"/>
      <c r="D7" s="76"/>
      <c r="E7" s="76"/>
      <c r="F7" s="76"/>
      <c r="G7" s="76"/>
      <c r="H7" s="76"/>
      <c r="I7" s="76"/>
      <c r="J7" s="76"/>
      <c r="K7" s="85"/>
      <c r="L7" s="85"/>
      <c r="M7" s="85"/>
      <c r="N7" s="85"/>
      <c r="O7" s="76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387" s="19" customFormat="1" ht="24" customHeight="1" x14ac:dyDescent="0.25">
      <c r="A8" s="282" t="s">
        <v>20</v>
      </c>
      <c r="B8" s="283"/>
      <c r="C8" s="288"/>
      <c r="D8" s="288"/>
      <c r="E8" s="288"/>
      <c r="F8" s="288"/>
      <c r="G8" s="288"/>
      <c r="H8" s="288"/>
      <c r="I8" s="288"/>
      <c r="J8" s="288"/>
      <c r="K8" s="289"/>
      <c r="L8" s="289"/>
      <c r="M8" s="289"/>
      <c r="N8" s="289"/>
      <c r="O8" s="288"/>
      <c r="P8" s="29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</row>
    <row r="9" spans="1:387" s="19" customFormat="1" ht="24" customHeight="1" thickBot="1" x14ac:dyDescent="0.3">
      <c r="A9" s="284"/>
      <c r="B9" s="285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2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spans="1:387" s="19" customFormat="1" ht="24" customHeight="1" thickBot="1" x14ac:dyDescent="0.3">
      <c r="A10" s="284"/>
      <c r="B10" s="285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2"/>
      <c r="P10" s="293" t="s">
        <v>19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387" s="22" customFormat="1" ht="105" customHeight="1" thickBot="1" x14ac:dyDescent="0.25">
      <c r="A11" s="286"/>
      <c r="B11" s="287"/>
      <c r="C11" s="83" t="s">
        <v>94</v>
      </c>
      <c r="D11" s="83" t="s">
        <v>95</v>
      </c>
      <c r="E11" s="83" t="s">
        <v>96</v>
      </c>
      <c r="F11" s="83" t="s">
        <v>97</v>
      </c>
      <c r="G11" s="83" t="s">
        <v>114</v>
      </c>
      <c r="H11" s="83" t="s">
        <v>115</v>
      </c>
      <c r="I11" s="83" t="s">
        <v>116</v>
      </c>
      <c r="J11" s="83" t="s">
        <v>117</v>
      </c>
      <c r="K11" s="83" t="s">
        <v>124</v>
      </c>
      <c r="L11" s="83" t="s">
        <v>125</v>
      </c>
      <c r="M11" s="83" t="s">
        <v>126</v>
      </c>
      <c r="N11" s="83" t="s">
        <v>127</v>
      </c>
      <c r="O11" s="79" t="s">
        <v>74</v>
      </c>
      <c r="P11" s="294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</row>
    <row r="12" spans="1:387" s="43" customFormat="1" ht="30" customHeight="1" thickBot="1" x14ac:dyDescent="0.25">
      <c r="A12" s="308" t="s">
        <v>21</v>
      </c>
      <c r="B12" s="308"/>
      <c r="C12" s="146">
        <f t="shared" ref="C12:J12" si="0">C13+C30+C41+C43</f>
        <v>72033698.539999992</v>
      </c>
      <c r="D12" s="146">
        <f t="shared" si="0"/>
        <v>114058211.26999998</v>
      </c>
      <c r="E12" s="146">
        <f t="shared" si="0"/>
        <v>93026513.780000001</v>
      </c>
      <c r="F12" s="146">
        <f t="shared" si="0"/>
        <v>95284237.129999995</v>
      </c>
      <c r="G12" s="146">
        <f t="shared" si="0"/>
        <v>97467795.329999983</v>
      </c>
      <c r="H12" s="146">
        <f t="shared" si="0"/>
        <v>98654932.640000015</v>
      </c>
      <c r="I12" s="146">
        <f t="shared" si="0"/>
        <v>149791293.69000003</v>
      </c>
      <c r="J12" s="146">
        <f t="shared" si="0"/>
        <v>188040837.21999997</v>
      </c>
      <c r="K12" s="146">
        <f t="shared" ref="K12:O12" si="1">K13+K30+K41+K43</f>
        <v>77690026.210000008</v>
      </c>
      <c r="L12" s="146">
        <f>L13+L30+L41+L43</f>
        <v>122485359.34000002</v>
      </c>
      <c r="M12" s="146">
        <f t="shared" si="1"/>
        <v>78935690.049999997</v>
      </c>
      <c r="N12" s="146">
        <f t="shared" si="1"/>
        <v>103752280.34999999</v>
      </c>
      <c r="O12" s="147">
        <f t="shared" si="1"/>
        <v>1291220875.5499997</v>
      </c>
      <c r="P12" s="14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</row>
    <row r="13" spans="1:387" s="27" customFormat="1" ht="30" customHeight="1" thickBot="1" x14ac:dyDescent="0.25">
      <c r="A13" s="309" t="s">
        <v>75</v>
      </c>
      <c r="B13" s="309"/>
      <c r="C13" s="146">
        <f t="shared" ref="C13:J13" si="2">C14+C24</f>
        <v>57512307.969999999</v>
      </c>
      <c r="D13" s="146">
        <f t="shared" si="2"/>
        <v>99553570.409999982</v>
      </c>
      <c r="E13" s="146">
        <f t="shared" si="2"/>
        <v>78407218.210000008</v>
      </c>
      <c r="F13" s="146">
        <f t="shared" si="2"/>
        <v>80594789.039999992</v>
      </c>
      <c r="G13" s="146">
        <f t="shared" si="2"/>
        <v>77562735.539999992</v>
      </c>
      <c r="H13" s="146">
        <f t="shared" si="2"/>
        <v>82420751.570000008</v>
      </c>
      <c r="I13" s="146">
        <f t="shared" si="2"/>
        <v>134498583.57000002</v>
      </c>
      <c r="J13" s="146">
        <f t="shared" si="2"/>
        <v>165871978.18999997</v>
      </c>
      <c r="K13" s="146">
        <f t="shared" ref="K13:N13" si="3">K14+K24</f>
        <v>61861713.860000007</v>
      </c>
      <c r="L13" s="146">
        <f t="shared" si="3"/>
        <v>106704322.18000001</v>
      </c>
      <c r="M13" s="146">
        <f t="shared" si="3"/>
        <v>62986445.729999997</v>
      </c>
      <c r="N13" s="146">
        <f t="shared" si="3"/>
        <v>88348687.199999988</v>
      </c>
      <c r="O13" s="149">
        <f t="shared" ref="O13" si="4">O14+O24</f>
        <v>1096323103.4699998</v>
      </c>
      <c r="P13" s="150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</row>
    <row r="14" spans="1:387" s="17" customFormat="1" ht="41.25" customHeight="1" thickBot="1" x14ac:dyDescent="0.45">
      <c r="A14" s="278" t="s">
        <v>25</v>
      </c>
      <c r="B14" s="279"/>
      <c r="C14" s="241">
        <f t="shared" ref="C14:J14" si="5">SUM(C15:C23)</f>
        <v>56162630.07</v>
      </c>
      <c r="D14" s="241">
        <f t="shared" si="5"/>
        <v>73105020.829999983</v>
      </c>
      <c r="E14" s="241">
        <f t="shared" si="5"/>
        <v>64485025.750000007</v>
      </c>
      <c r="F14" s="241">
        <f t="shared" si="5"/>
        <v>66639830.269999996</v>
      </c>
      <c r="G14" s="241">
        <f t="shared" si="5"/>
        <v>63579063.739999995</v>
      </c>
      <c r="H14" s="241">
        <f t="shared" si="5"/>
        <v>68812708.190000013</v>
      </c>
      <c r="I14" s="241">
        <f t="shared" si="5"/>
        <v>120875182.89000002</v>
      </c>
      <c r="J14" s="241">
        <f t="shared" si="5"/>
        <v>135544448.45999998</v>
      </c>
      <c r="K14" s="241">
        <f t="shared" ref="K14:N14" si="6">SUM(K15:K23)</f>
        <v>61861713.860000007</v>
      </c>
      <c r="L14" s="241">
        <f t="shared" si="6"/>
        <v>78011987.310000002</v>
      </c>
      <c r="M14" s="241">
        <f t="shared" si="6"/>
        <v>61402603.539999999</v>
      </c>
      <c r="N14" s="241">
        <f t="shared" si="6"/>
        <v>73525610.039999992</v>
      </c>
      <c r="O14" s="151">
        <f t="shared" ref="O14" si="7">SUM(O15:O23)</f>
        <v>924005824.94999993</v>
      </c>
      <c r="P14" s="152"/>
      <c r="Q14" s="239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</row>
    <row r="15" spans="1:387" s="51" customFormat="1" ht="32.25" x14ac:dyDescent="0.3">
      <c r="A15" s="86" t="s">
        <v>10</v>
      </c>
      <c r="B15" s="120" t="s">
        <v>27</v>
      </c>
      <c r="C15" s="153">
        <v>53769583.619999997</v>
      </c>
      <c r="D15" s="153">
        <v>70796381.150000006</v>
      </c>
      <c r="E15" s="153">
        <v>62024862.659999996</v>
      </c>
      <c r="F15" s="153">
        <v>62138443.299999997</v>
      </c>
      <c r="G15" s="153">
        <v>61293669.560000002</v>
      </c>
      <c r="H15" s="153">
        <v>63070645.630000003</v>
      </c>
      <c r="I15" s="153">
        <v>115484836.54000001</v>
      </c>
      <c r="J15" s="153">
        <v>77851138.299999997</v>
      </c>
      <c r="K15" s="153">
        <v>59194502.25</v>
      </c>
      <c r="L15" s="153">
        <v>74995259.040000007</v>
      </c>
      <c r="M15" s="153">
        <v>58913020.600000001</v>
      </c>
      <c r="N15" s="153">
        <v>67553557.439999998</v>
      </c>
      <c r="O15" s="154">
        <f t="shared" ref="O15:O23" si="8">SUM(C15:N15)</f>
        <v>827085900.08999991</v>
      </c>
      <c r="P15" s="152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</row>
    <row r="16" spans="1:387" s="51" customFormat="1" ht="20.25" x14ac:dyDescent="0.3">
      <c r="A16" s="87" t="s">
        <v>48</v>
      </c>
      <c r="B16" s="121" t="s">
        <v>28</v>
      </c>
      <c r="C16" s="153">
        <v>1904845.74</v>
      </c>
      <c r="D16" s="153">
        <v>1750933.71</v>
      </c>
      <c r="E16" s="153">
        <v>1791789.42</v>
      </c>
      <c r="F16" s="153">
        <v>2016236.86</v>
      </c>
      <c r="G16" s="153">
        <v>1846628.9</v>
      </c>
      <c r="H16" s="153">
        <v>2030457.57</v>
      </c>
      <c r="I16" s="153">
        <v>2106134.5299999998</v>
      </c>
      <c r="J16" s="153">
        <v>3098659.92</v>
      </c>
      <c r="K16" s="153">
        <v>2110968.88</v>
      </c>
      <c r="L16" s="153">
        <v>2572370.02</v>
      </c>
      <c r="M16" s="153">
        <v>1924000.16</v>
      </c>
      <c r="N16" s="153">
        <v>5026233.07</v>
      </c>
      <c r="O16" s="154">
        <f t="shared" si="8"/>
        <v>28179258.780000001</v>
      </c>
      <c r="P16" s="152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</row>
    <row r="17" spans="1:391" s="52" customFormat="1" ht="20.25" x14ac:dyDescent="0.3">
      <c r="A17" s="88" t="s">
        <v>46</v>
      </c>
      <c r="B17" s="122" t="s">
        <v>47</v>
      </c>
      <c r="C17" s="153">
        <v>61426.68</v>
      </c>
      <c r="D17" s="153">
        <v>54351.27</v>
      </c>
      <c r="E17" s="153">
        <v>54128.81</v>
      </c>
      <c r="F17" s="153">
        <v>39287.57</v>
      </c>
      <c r="G17" s="153">
        <v>45375.69</v>
      </c>
      <c r="H17" s="153">
        <v>3290973.64</v>
      </c>
      <c r="I17" s="153">
        <v>2172007.9700000002</v>
      </c>
      <c r="J17" s="153">
        <v>50331859.439999998</v>
      </c>
      <c r="K17" s="153">
        <v>89729.56</v>
      </c>
      <c r="L17" s="153">
        <v>79802.28</v>
      </c>
      <c r="M17" s="153">
        <v>97340.79</v>
      </c>
      <c r="N17" s="153">
        <v>24576.3</v>
      </c>
      <c r="O17" s="154">
        <f t="shared" si="8"/>
        <v>56340860</v>
      </c>
      <c r="P17" s="155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</row>
    <row r="18" spans="1:391" s="52" customFormat="1" ht="31.5" x14ac:dyDescent="0.3">
      <c r="A18" s="88" t="s">
        <v>49</v>
      </c>
      <c r="B18" s="89" t="s">
        <v>50</v>
      </c>
      <c r="C18" s="156">
        <v>212243.84</v>
      </c>
      <c r="D18" s="156">
        <v>223756.07</v>
      </c>
      <c r="E18" s="156">
        <v>336177.09</v>
      </c>
      <c r="F18" s="156">
        <v>335076.52</v>
      </c>
      <c r="G18" s="156">
        <v>120037.89</v>
      </c>
      <c r="H18" s="156">
        <v>265964.90000000002</v>
      </c>
      <c r="I18" s="156">
        <v>275633.51</v>
      </c>
      <c r="J18" s="156">
        <v>330541.09000000003</v>
      </c>
      <c r="K18" s="153">
        <v>466513.17</v>
      </c>
      <c r="L18" s="156">
        <v>291851.71000000002</v>
      </c>
      <c r="M18" s="156">
        <v>112295.11</v>
      </c>
      <c r="N18" s="156">
        <v>288496.23</v>
      </c>
      <c r="O18" s="154">
        <f t="shared" si="8"/>
        <v>3258587.13</v>
      </c>
      <c r="P18" s="155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</row>
    <row r="19" spans="1:391" s="52" customFormat="1" ht="20.25" x14ac:dyDescent="0.3">
      <c r="A19" s="88" t="s">
        <v>51</v>
      </c>
      <c r="B19" s="89" t="s">
        <v>52</v>
      </c>
      <c r="C19" s="157">
        <v>99985.5</v>
      </c>
      <c r="D19" s="157">
        <v>6962.67</v>
      </c>
      <c r="E19" s="157">
        <v>102.92</v>
      </c>
      <c r="F19" s="157">
        <v>1583397.8</v>
      </c>
      <c r="G19" s="157">
        <v>50796.98</v>
      </c>
      <c r="H19" s="157">
        <v>125875.23</v>
      </c>
      <c r="I19" s="157">
        <v>561833.22</v>
      </c>
      <c r="J19" s="157">
        <v>2279318.96</v>
      </c>
      <c r="K19" s="157">
        <v>0</v>
      </c>
      <c r="L19" s="157">
        <v>0</v>
      </c>
      <c r="M19" s="157">
        <v>255847.24</v>
      </c>
      <c r="N19" s="157">
        <v>279780.09000000003</v>
      </c>
      <c r="O19" s="154">
        <f t="shared" si="8"/>
        <v>5243900.6100000003</v>
      </c>
      <c r="P19" s="155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</row>
    <row r="20" spans="1:391" s="52" customFormat="1" ht="31.5" x14ac:dyDescent="0.3">
      <c r="A20" s="145" t="s">
        <v>122</v>
      </c>
      <c r="B20" s="89" t="s">
        <v>54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60527.23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4">
        <f t="shared" si="8"/>
        <v>60527.23</v>
      </c>
      <c r="P20" s="155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</row>
    <row r="21" spans="1:391" s="52" customFormat="1" ht="36.75" customHeight="1" x14ac:dyDescent="0.3">
      <c r="A21" s="88" t="s">
        <v>53</v>
      </c>
      <c r="B21" s="89" t="s">
        <v>54</v>
      </c>
      <c r="C21" s="157"/>
      <c r="D21" s="157">
        <v>97892.160000000003</v>
      </c>
      <c r="E21" s="157"/>
      <c r="F21" s="157">
        <v>27997.69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12047.87</v>
      </c>
      <c r="N21" s="157">
        <v>0</v>
      </c>
      <c r="O21" s="154">
        <f t="shared" si="8"/>
        <v>137937.72</v>
      </c>
      <c r="P21" s="155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</row>
    <row r="22" spans="1:391" s="52" customFormat="1" ht="36.75" customHeight="1" x14ac:dyDescent="0.3">
      <c r="A22" s="145" t="s">
        <v>123</v>
      </c>
      <c r="B22" s="89" t="s">
        <v>65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85653.4</v>
      </c>
      <c r="J22" s="158">
        <v>238796.97</v>
      </c>
      <c r="K22" s="158">
        <v>0</v>
      </c>
      <c r="L22" s="158">
        <v>0</v>
      </c>
      <c r="M22" s="158">
        <v>75000.2</v>
      </c>
      <c r="N22" s="158">
        <v>64512.160000000003</v>
      </c>
      <c r="O22" s="154">
        <f t="shared" si="8"/>
        <v>463962.73</v>
      </c>
      <c r="P22" s="155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</row>
    <row r="23" spans="1:391" s="52" customFormat="1" ht="30" customHeight="1" thickBot="1" x14ac:dyDescent="0.35">
      <c r="A23" s="88" t="s">
        <v>12</v>
      </c>
      <c r="B23" s="89" t="s">
        <v>65</v>
      </c>
      <c r="C23" s="159">
        <v>114544.69</v>
      </c>
      <c r="D23" s="159">
        <v>174743.8</v>
      </c>
      <c r="E23" s="159">
        <v>277964.84999999998</v>
      </c>
      <c r="F23" s="159">
        <v>499390.53</v>
      </c>
      <c r="G23" s="159">
        <v>222554.72</v>
      </c>
      <c r="H23" s="159">
        <v>28791.22</v>
      </c>
      <c r="I23" s="159">
        <v>128556.49</v>
      </c>
      <c r="J23" s="159">
        <v>1414133.78</v>
      </c>
      <c r="K23" s="159">
        <v>0</v>
      </c>
      <c r="L23" s="159">
        <v>72704.259999999995</v>
      </c>
      <c r="M23" s="159">
        <v>13051.57</v>
      </c>
      <c r="N23" s="159">
        <v>288454.75</v>
      </c>
      <c r="O23" s="154">
        <f t="shared" si="8"/>
        <v>3234890.6599999997</v>
      </c>
      <c r="P23" s="155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</row>
    <row r="24" spans="1:391" s="13" customFormat="1" ht="30" customHeight="1" thickBot="1" x14ac:dyDescent="0.45">
      <c r="A24" s="280" t="s">
        <v>26</v>
      </c>
      <c r="B24" s="281"/>
      <c r="C24" s="160">
        <f t="shared" ref="C24:J24" si="9">C25+C27+C28+C29+C26</f>
        <v>1349677.9</v>
      </c>
      <c r="D24" s="160">
        <f t="shared" si="9"/>
        <v>26448549.579999994</v>
      </c>
      <c r="E24" s="160">
        <f t="shared" si="9"/>
        <v>13922192.459999997</v>
      </c>
      <c r="F24" s="160">
        <f t="shared" si="9"/>
        <v>13954958.77</v>
      </c>
      <c r="G24" s="160">
        <f t="shared" si="9"/>
        <v>13983671.800000001</v>
      </c>
      <c r="H24" s="160">
        <f t="shared" si="9"/>
        <v>13608043.379999999</v>
      </c>
      <c r="I24" s="160">
        <f t="shared" si="9"/>
        <v>13623400.680000002</v>
      </c>
      <c r="J24" s="160">
        <f t="shared" si="9"/>
        <v>30327529.73</v>
      </c>
      <c r="K24" s="160">
        <f t="shared" ref="K24:N24" si="10">K25+K27+K28+K29+K26</f>
        <v>0</v>
      </c>
      <c r="L24" s="160">
        <f t="shared" si="10"/>
        <v>28692334.870000001</v>
      </c>
      <c r="M24" s="160">
        <f t="shared" si="10"/>
        <v>1583842.1900000002</v>
      </c>
      <c r="N24" s="160">
        <f t="shared" si="10"/>
        <v>14823077.159999998</v>
      </c>
      <c r="O24" s="161">
        <f t="shared" ref="O24" si="11">O25+O27+O28+O29+O26</f>
        <v>172317278.51999998</v>
      </c>
      <c r="P24" s="16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</row>
    <row r="25" spans="1:391" s="48" customFormat="1" ht="31.5" customHeight="1" x14ac:dyDescent="0.3">
      <c r="A25" s="90" t="s">
        <v>70</v>
      </c>
      <c r="B25" s="90" t="s">
        <v>0</v>
      </c>
      <c r="C25" s="153">
        <v>1349677.9</v>
      </c>
      <c r="D25" s="153">
        <v>1347354.17</v>
      </c>
      <c r="E25" s="153">
        <v>1372373.78</v>
      </c>
      <c r="F25" s="153">
        <v>1346695.1</v>
      </c>
      <c r="G25" s="153">
        <v>1384611.36</v>
      </c>
      <c r="H25" s="153">
        <v>1374217.11</v>
      </c>
      <c r="I25" s="153">
        <v>1411632.96</v>
      </c>
      <c r="J25" s="153">
        <v>4253937.76</v>
      </c>
      <c r="K25" s="153">
        <v>0</v>
      </c>
      <c r="L25" s="153">
        <v>1613136.25</v>
      </c>
      <c r="M25" s="153">
        <v>1582309.37</v>
      </c>
      <c r="N25" s="153">
        <v>1554063.27</v>
      </c>
      <c r="O25" s="163">
        <f>SUM(C25:N25)</f>
        <v>18590009.029999997</v>
      </c>
      <c r="P25" s="164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</row>
    <row r="26" spans="1:391" s="48" customFormat="1" ht="34.5" customHeight="1" x14ac:dyDescent="0.3">
      <c r="A26" s="90" t="s">
        <v>69</v>
      </c>
      <c r="B26" s="91" t="s">
        <v>71</v>
      </c>
      <c r="C26" s="153"/>
      <c r="D26" s="153"/>
      <c r="E26" s="153"/>
      <c r="F26" s="153"/>
      <c r="G26" s="153"/>
      <c r="H26" s="153"/>
      <c r="I26" s="153"/>
      <c r="J26" s="153"/>
      <c r="K26" s="153">
        <v>0</v>
      </c>
      <c r="L26" s="153">
        <v>0</v>
      </c>
      <c r="M26" s="153">
        <v>1532.82</v>
      </c>
      <c r="N26" s="153">
        <v>0</v>
      </c>
      <c r="O26" s="163">
        <f>SUM(C26:N26)</f>
        <v>1532.82</v>
      </c>
      <c r="P26" s="164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</row>
    <row r="27" spans="1:391" s="48" customFormat="1" ht="39.75" customHeight="1" x14ac:dyDescent="0.3">
      <c r="A27" s="92" t="s">
        <v>72</v>
      </c>
      <c r="B27" s="92" t="s">
        <v>68</v>
      </c>
      <c r="C27" s="153"/>
      <c r="D27" s="153">
        <v>21168996.489999998</v>
      </c>
      <c r="E27" s="153">
        <v>10599228.619999999</v>
      </c>
      <c r="F27" s="153">
        <v>10630515.689999999</v>
      </c>
      <c r="G27" s="153">
        <v>10637364.550000001</v>
      </c>
      <c r="H27" s="153">
        <v>10675125.449999999</v>
      </c>
      <c r="I27" s="153">
        <v>10643070.07</v>
      </c>
      <c r="J27" s="153">
        <v>21292833.940000001</v>
      </c>
      <c r="K27" s="153">
        <v>0</v>
      </c>
      <c r="L27" s="153">
        <v>22863031.77</v>
      </c>
      <c r="M27" s="153">
        <v>0</v>
      </c>
      <c r="N27" s="153">
        <v>11455991.119999999</v>
      </c>
      <c r="O27" s="163">
        <f>SUM(C27:N27)</f>
        <v>129966157.7</v>
      </c>
      <c r="P27" s="164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</row>
    <row r="28" spans="1:391" s="48" customFormat="1" ht="34.5" customHeight="1" x14ac:dyDescent="0.3">
      <c r="A28" s="93" t="s">
        <v>14</v>
      </c>
      <c r="B28" s="94" t="s">
        <v>73</v>
      </c>
      <c r="C28" s="165"/>
      <c r="D28" s="165">
        <v>3030615.84</v>
      </c>
      <c r="E28" s="165">
        <v>1527062.28</v>
      </c>
      <c r="F28" s="165">
        <v>1527537.75</v>
      </c>
      <c r="G28" s="165">
        <v>1527537.75</v>
      </c>
      <c r="H28" s="165">
        <v>1558700.82</v>
      </c>
      <c r="I28" s="165">
        <v>1568697.65</v>
      </c>
      <c r="J28" s="165">
        <v>3071867.63</v>
      </c>
      <c r="K28" s="165">
        <v>0</v>
      </c>
      <c r="L28" s="165">
        <v>3295607.69</v>
      </c>
      <c r="M28" s="165">
        <v>0</v>
      </c>
      <c r="N28" s="165">
        <v>1472731.61</v>
      </c>
      <c r="O28" s="163">
        <f>SUM(C28:N28)</f>
        <v>18580359.02</v>
      </c>
      <c r="P28" s="164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</row>
    <row r="29" spans="1:391" s="50" customFormat="1" ht="39" customHeight="1" thickBot="1" x14ac:dyDescent="0.35">
      <c r="A29" s="95" t="s">
        <v>15</v>
      </c>
      <c r="B29" s="96" t="s">
        <v>67</v>
      </c>
      <c r="C29" s="166"/>
      <c r="D29" s="166">
        <v>901583.08</v>
      </c>
      <c r="E29" s="166">
        <v>423527.78</v>
      </c>
      <c r="F29" s="166">
        <v>450210.23</v>
      </c>
      <c r="G29" s="166">
        <v>434158.14</v>
      </c>
      <c r="H29" s="166">
        <v>0</v>
      </c>
      <c r="I29" s="166">
        <v>0</v>
      </c>
      <c r="J29" s="166">
        <v>1708890.4</v>
      </c>
      <c r="K29" s="166">
        <v>0</v>
      </c>
      <c r="L29" s="166">
        <v>920559.16</v>
      </c>
      <c r="M29" s="166">
        <v>0</v>
      </c>
      <c r="N29" s="166">
        <v>340291.16</v>
      </c>
      <c r="O29" s="163">
        <f>SUM(C29:N29)</f>
        <v>5179219.95</v>
      </c>
      <c r="P29" s="150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9"/>
      <c r="IO29" s="49"/>
      <c r="IP29" s="49"/>
      <c r="IQ29" s="49"/>
      <c r="IR29" s="49"/>
      <c r="IS29" s="49"/>
      <c r="IT29" s="49"/>
      <c r="IU29" s="49"/>
      <c r="IV29" s="49"/>
      <c r="IW29" s="49"/>
      <c r="IX29" s="49"/>
      <c r="IY29" s="49"/>
      <c r="IZ29" s="49"/>
      <c r="JA29" s="49"/>
      <c r="JB29" s="49"/>
      <c r="JC29" s="49"/>
      <c r="JD29" s="49"/>
      <c r="JE29" s="49"/>
      <c r="JF29" s="49"/>
      <c r="JG29" s="49"/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9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9"/>
      <c r="KD29" s="49"/>
      <c r="KE29" s="49"/>
      <c r="KF29" s="49"/>
      <c r="KG29" s="49"/>
      <c r="KH29" s="49"/>
      <c r="KI29" s="49"/>
      <c r="KJ29" s="49"/>
      <c r="KK29" s="49"/>
      <c r="KL29" s="49"/>
      <c r="KM29" s="49"/>
      <c r="KN29" s="49"/>
      <c r="KO29" s="49"/>
      <c r="KP29" s="49"/>
      <c r="KQ29" s="49"/>
      <c r="KR29" s="49"/>
      <c r="KS29" s="49"/>
      <c r="KT29" s="49"/>
      <c r="KU29" s="49"/>
      <c r="KV29" s="49"/>
      <c r="KW29" s="49"/>
      <c r="KX29" s="49"/>
      <c r="KY29" s="49"/>
      <c r="KZ29" s="49"/>
      <c r="LA29" s="49"/>
      <c r="LB29" s="49"/>
      <c r="LC29" s="49"/>
      <c r="LD29" s="49"/>
      <c r="LE29" s="49"/>
      <c r="LF29" s="49"/>
      <c r="LG29" s="49"/>
      <c r="LH29" s="49"/>
      <c r="LI29" s="49"/>
      <c r="LJ29" s="49"/>
      <c r="LK29" s="49"/>
      <c r="LL29" s="49"/>
      <c r="LM29" s="49"/>
      <c r="LN29" s="49"/>
      <c r="LO29" s="49"/>
      <c r="LP29" s="49"/>
      <c r="LQ29" s="49"/>
      <c r="LR29" s="49"/>
      <c r="LS29" s="49"/>
      <c r="LT29" s="49"/>
      <c r="LU29" s="49"/>
      <c r="LV29" s="49"/>
      <c r="LW29" s="49"/>
      <c r="LX29" s="49"/>
      <c r="LY29" s="49"/>
      <c r="LZ29" s="49"/>
      <c r="MA29" s="49"/>
      <c r="MB29" s="49"/>
      <c r="MC29" s="49"/>
      <c r="MD29" s="49"/>
      <c r="ME29" s="49"/>
      <c r="MF29" s="49"/>
      <c r="MG29" s="49"/>
      <c r="MH29" s="49"/>
      <c r="MI29" s="49"/>
      <c r="MJ29" s="49"/>
      <c r="MK29" s="49"/>
      <c r="ML29" s="49"/>
      <c r="MM29" s="49"/>
      <c r="MN29" s="49"/>
      <c r="MO29" s="49"/>
      <c r="MP29" s="49"/>
      <c r="MQ29" s="49"/>
      <c r="MR29" s="49"/>
      <c r="MS29" s="49"/>
      <c r="MT29" s="49"/>
      <c r="MU29" s="49"/>
      <c r="MV29" s="49"/>
      <c r="MW29" s="49"/>
      <c r="MX29" s="49"/>
      <c r="MY29" s="49"/>
      <c r="MZ29" s="49"/>
      <c r="NA29" s="49"/>
      <c r="NB29" s="49"/>
      <c r="NC29" s="49"/>
      <c r="ND29" s="49"/>
      <c r="NE29" s="49"/>
      <c r="NF29" s="49"/>
      <c r="NG29" s="49"/>
      <c r="NH29" s="49"/>
      <c r="NI29" s="49"/>
      <c r="NJ29" s="49"/>
      <c r="NK29" s="49"/>
      <c r="NL29" s="49"/>
      <c r="NM29" s="49"/>
      <c r="NN29" s="49"/>
      <c r="NO29" s="49"/>
      <c r="NP29" s="49"/>
      <c r="NQ29" s="49"/>
      <c r="NR29" s="49"/>
      <c r="NS29" s="49"/>
      <c r="NT29" s="49"/>
      <c r="NU29" s="49"/>
      <c r="NV29" s="49"/>
      <c r="NW29" s="49"/>
      <c r="OA29" s="50">
        <v>0</v>
      </c>
    </row>
    <row r="30" spans="1:391" s="33" customFormat="1" ht="37.5" customHeight="1" thickBot="1" x14ac:dyDescent="0.25">
      <c r="A30" s="302" t="s">
        <v>76</v>
      </c>
      <c r="B30" s="302"/>
      <c r="C30" s="146">
        <f t="shared" ref="C30:J30" si="12">C31+C35</f>
        <v>14521390.57</v>
      </c>
      <c r="D30" s="146">
        <f t="shared" si="12"/>
        <v>14504640.859999999</v>
      </c>
      <c r="E30" s="146">
        <f t="shared" si="12"/>
        <v>14619295.57</v>
      </c>
      <c r="F30" s="146">
        <f t="shared" si="12"/>
        <v>14689448.09</v>
      </c>
      <c r="G30" s="146">
        <f t="shared" si="12"/>
        <v>19905059.789999999</v>
      </c>
      <c r="H30" s="146">
        <f t="shared" si="12"/>
        <v>16234181.07</v>
      </c>
      <c r="I30" s="146">
        <f t="shared" si="12"/>
        <v>15292710.120000001</v>
      </c>
      <c r="J30" s="146">
        <f t="shared" si="12"/>
        <v>22168859.030000001</v>
      </c>
      <c r="K30" s="146">
        <f t="shared" ref="K30:N30" si="13">K31+K35</f>
        <v>15828312.350000001</v>
      </c>
      <c r="L30" s="146">
        <f t="shared" si="13"/>
        <v>15776318.76</v>
      </c>
      <c r="M30" s="146">
        <f t="shared" si="13"/>
        <v>15949244.32</v>
      </c>
      <c r="N30" s="146">
        <f t="shared" si="13"/>
        <v>15403593.15</v>
      </c>
      <c r="O30" s="149">
        <f t="shared" ref="O30" si="14">O31+O35</f>
        <v>194893053.67999995</v>
      </c>
      <c r="P30" s="164"/>
      <c r="Q30" s="239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</row>
    <row r="31" spans="1:391" s="35" customFormat="1" ht="28.5" customHeight="1" thickBot="1" x14ac:dyDescent="0.25">
      <c r="A31" s="303" t="s">
        <v>23</v>
      </c>
      <c r="B31" s="303"/>
      <c r="C31" s="167">
        <f t="shared" ref="C31:J31" si="15">C32+C33+C34</f>
        <v>11231252.390000001</v>
      </c>
      <c r="D31" s="167">
        <f t="shared" si="15"/>
        <v>11137151.879999999</v>
      </c>
      <c r="E31" s="167">
        <f t="shared" si="15"/>
        <v>11199395.67</v>
      </c>
      <c r="F31" s="167">
        <f t="shared" si="15"/>
        <v>11178435.09</v>
      </c>
      <c r="G31" s="167">
        <f t="shared" si="15"/>
        <v>16441560.4</v>
      </c>
      <c r="H31" s="167">
        <f t="shared" si="15"/>
        <v>11185791.58</v>
      </c>
      <c r="I31" s="167">
        <f t="shared" si="15"/>
        <v>11259432.220000001</v>
      </c>
      <c r="J31" s="167">
        <f t="shared" si="15"/>
        <v>16934539.109999999</v>
      </c>
      <c r="K31" s="167">
        <f t="shared" ref="K31:N31" si="16">K32+K33+K34</f>
        <v>12045137.470000001</v>
      </c>
      <c r="L31" s="167">
        <f t="shared" si="16"/>
        <v>11974790.949999999</v>
      </c>
      <c r="M31" s="167">
        <f t="shared" si="16"/>
        <v>11886647.83</v>
      </c>
      <c r="N31" s="167">
        <f t="shared" si="16"/>
        <v>11729994.59</v>
      </c>
      <c r="O31" s="168">
        <f>O32+O33+O34</f>
        <v>148204129.17999995</v>
      </c>
      <c r="P31" s="169"/>
      <c r="Q31" s="239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</row>
    <row r="32" spans="1:391" s="53" customFormat="1" ht="21" customHeight="1" x14ac:dyDescent="0.3">
      <c r="A32" s="97" t="s">
        <v>13</v>
      </c>
      <c r="B32" s="98" t="s">
        <v>29</v>
      </c>
      <c r="C32" s="170">
        <v>10817014.050000001</v>
      </c>
      <c r="D32" s="170">
        <v>10760432.01</v>
      </c>
      <c r="E32" s="170">
        <v>10850817.640000001</v>
      </c>
      <c r="F32" s="170">
        <v>10858951.119999999</v>
      </c>
      <c r="G32" s="170">
        <v>16152376.73</v>
      </c>
      <c r="H32" s="170">
        <v>11084859.74</v>
      </c>
      <c r="I32" s="170">
        <v>11158500.380000001</v>
      </c>
      <c r="J32" s="170">
        <v>16713717.82</v>
      </c>
      <c r="K32" s="170">
        <v>11674243.689999999</v>
      </c>
      <c r="L32" s="170">
        <v>11720006.029999999</v>
      </c>
      <c r="M32" s="170">
        <v>11756466.880000001</v>
      </c>
      <c r="N32" s="170">
        <v>11599813.640000001</v>
      </c>
      <c r="O32" s="171">
        <f>SUM(C32:N32)</f>
        <v>145147199.72999996</v>
      </c>
      <c r="P32" s="155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</row>
    <row r="33" spans="1:387" s="53" customFormat="1" ht="27.75" customHeight="1" x14ac:dyDescent="0.3">
      <c r="A33" s="99" t="s">
        <v>55</v>
      </c>
      <c r="B33" s="100" t="s">
        <v>56</v>
      </c>
      <c r="C33" s="172">
        <v>313306.5</v>
      </c>
      <c r="D33" s="172">
        <v>275788.03000000003</v>
      </c>
      <c r="E33" s="172">
        <v>247646.19</v>
      </c>
      <c r="F33" s="172">
        <v>218552.13</v>
      </c>
      <c r="G33" s="172">
        <v>188251.83</v>
      </c>
      <c r="H33" s="172">
        <v>0</v>
      </c>
      <c r="I33" s="172">
        <v>0</v>
      </c>
      <c r="J33" s="172">
        <v>0</v>
      </c>
      <c r="K33" s="172">
        <v>260111.72</v>
      </c>
      <c r="L33" s="172">
        <v>133932.01999999999</v>
      </c>
      <c r="M33" s="172">
        <v>0</v>
      </c>
      <c r="N33" s="172">
        <v>0</v>
      </c>
      <c r="O33" s="244">
        <f>SUM(C33:N33)</f>
        <v>1637588.4200000002</v>
      </c>
      <c r="P33" s="155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51"/>
      <c r="IO33" s="51"/>
      <c r="IP33" s="51"/>
      <c r="IQ33" s="51"/>
      <c r="IR33" s="51"/>
      <c r="IS33" s="51"/>
      <c r="IT33" s="51"/>
      <c r="IU33" s="51"/>
      <c r="IV33" s="51"/>
      <c r="IW33" s="51"/>
      <c r="IX33" s="51"/>
      <c r="IY33" s="51"/>
      <c r="IZ33" s="51"/>
      <c r="JA33" s="51"/>
      <c r="JB33" s="51"/>
      <c r="JC33" s="51"/>
      <c r="JD33" s="51"/>
      <c r="JE33" s="51"/>
      <c r="JF33" s="51"/>
      <c r="JG33" s="51"/>
      <c r="JH33" s="51"/>
      <c r="JI33" s="51"/>
      <c r="JJ33" s="51"/>
      <c r="JK33" s="51"/>
      <c r="JL33" s="51"/>
      <c r="JM33" s="51"/>
      <c r="JN33" s="51"/>
      <c r="JO33" s="51"/>
      <c r="JP33" s="51"/>
      <c r="JQ33" s="51"/>
      <c r="JR33" s="51"/>
      <c r="JS33" s="51"/>
      <c r="JT33" s="51"/>
      <c r="JU33" s="51"/>
      <c r="JV33" s="51"/>
      <c r="JW33" s="51"/>
      <c r="JX33" s="51"/>
      <c r="JY33" s="51"/>
      <c r="JZ33" s="51"/>
      <c r="KA33" s="51"/>
      <c r="KB33" s="51"/>
      <c r="KC33" s="51"/>
      <c r="KD33" s="51"/>
      <c r="KE33" s="51"/>
      <c r="KF33" s="51"/>
      <c r="KG33" s="51"/>
      <c r="KH33" s="51"/>
      <c r="KI33" s="51"/>
      <c r="KJ33" s="51"/>
      <c r="KK33" s="51"/>
      <c r="KL33" s="51"/>
      <c r="KM33" s="51"/>
      <c r="KN33" s="51"/>
      <c r="KO33" s="51"/>
      <c r="KP33" s="51"/>
      <c r="KQ33" s="51"/>
      <c r="KR33" s="51"/>
      <c r="KS33" s="51"/>
      <c r="KT33" s="51"/>
      <c r="KU33" s="51"/>
      <c r="KV33" s="51"/>
      <c r="KW33" s="51"/>
      <c r="KX33" s="51"/>
      <c r="KY33" s="51"/>
      <c r="KZ33" s="51"/>
      <c r="LA33" s="51"/>
      <c r="LB33" s="51"/>
      <c r="LC33" s="51"/>
      <c r="LD33" s="51"/>
      <c r="LE33" s="51"/>
      <c r="LF33" s="51"/>
      <c r="LG33" s="51"/>
      <c r="LH33" s="51"/>
      <c r="LI33" s="51"/>
      <c r="LJ33" s="51"/>
      <c r="LK33" s="51"/>
      <c r="LL33" s="51"/>
      <c r="LM33" s="51"/>
      <c r="LN33" s="51"/>
      <c r="LO33" s="51"/>
      <c r="LP33" s="51"/>
      <c r="LQ33" s="51"/>
      <c r="LR33" s="51"/>
      <c r="LS33" s="51"/>
      <c r="LT33" s="51"/>
      <c r="LU33" s="51"/>
      <c r="LV33" s="51"/>
      <c r="LW33" s="51"/>
      <c r="LX33" s="51"/>
      <c r="LY33" s="51"/>
      <c r="LZ33" s="51"/>
      <c r="MA33" s="51"/>
      <c r="MB33" s="51"/>
      <c r="MC33" s="51"/>
      <c r="MD33" s="51"/>
      <c r="ME33" s="51"/>
      <c r="MF33" s="51"/>
      <c r="MG33" s="51"/>
      <c r="MH33" s="51"/>
      <c r="MI33" s="51"/>
      <c r="MJ33" s="51"/>
      <c r="MK33" s="51"/>
      <c r="ML33" s="51"/>
      <c r="MM33" s="51"/>
      <c r="MN33" s="51"/>
      <c r="MO33" s="51"/>
      <c r="MP33" s="51"/>
      <c r="MQ33" s="51"/>
      <c r="MR33" s="51"/>
      <c r="MS33" s="51"/>
      <c r="MT33" s="51"/>
      <c r="MU33" s="51"/>
      <c r="MV33" s="51"/>
      <c r="MW33" s="51"/>
      <c r="MX33" s="51"/>
      <c r="MY33" s="51"/>
      <c r="MZ33" s="51"/>
      <c r="NA33" s="51"/>
      <c r="NB33" s="51"/>
      <c r="NC33" s="51"/>
      <c r="ND33" s="51"/>
      <c r="NE33" s="51"/>
      <c r="NF33" s="51"/>
      <c r="NG33" s="51"/>
      <c r="NH33" s="51"/>
      <c r="NI33" s="51"/>
      <c r="NJ33" s="51"/>
      <c r="NK33" s="51"/>
      <c r="NL33" s="51"/>
      <c r="NM33" s="51"/>
      <c r="NN33" s="51"/>
      <c r="NO33" s="51"/>
      <c r="NP33" s="51"/>
      <c r="NQ33" s="51"/>
      <c r="NR33" s="51"/>
      <c r="NS33" s="51"/>
      <c r="NT33" s="51"/>
      <c r="NU33" s="51"/>
      <c r="NV33" s="51"/>
      <c r="NW33" s="51"/>
    </row>
    <row r="34" spans="1:387" s="53" customFormat="1" ht="32.25" customHeight="1" thickBot="1" x14ac:dyDescent="0.35">
      <c r="A34" s="101" t="s">
        <v>137</v>
      </c>
      <c r="B34" s="102" t="s">
        <v>57</v>
      </c>
      <c r="C34" s="172">
        <v>100931.84</v>
      </c>
      <c r="D34" s="173">
        <v>100931.84</v>
      </c>
      <c r="E34" s="173">
        <v>100931.84</v>
      </c>
      <c r="F34" s="173">
        <v>100931.84</v>
      </c>
      <c r="G34" s="172">
        <v>100931.84</v>
      </c>
      <c r="H34" s="173">
        <v>100931.84</v>
      </c>
      <c r="I34" s="173">
        <v>100931.84</v>
      </c>
      <c r="J34" s="173">
        <v>220821.29</v>
      </c>
      <c r="K34" s="172">
        <v>110782.06</v>
      </c>
      <c r="L34" s="173">
        <v>120852.9</v>
      </c>
      <c r="M34" s="173">
        <v>130180.95</v>
      </c>
      <c r="N34" s="173">
        <v>130180.95</v>
      </c>
      <c r="O34" s="244">
        <f>SUM(C34:N34)</f>
        <v>1419341.0299999998</v>
      </c>
      <c r="P34" s="155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/>
      <c r="LU34" s="51"/>
      <c r="LV34" s="51"/>
      <c r="LW34" s="51"/>
      <c r="LX34" s="51"/>
      <c r="LY34" s="51"/>
      <c r="LZ34" s="51"/>
      <c r="MA34" s="51"/>
      <c r="MB34" s="51"/>
      <c r="MC34" s="51"/>
      <c r="MD34" s="51"/>
      <c r="ME34" s="51"/>
      <c r="MF34" s="51"/>
      <c r="MG34" s="51"/>
      <c r="MH34" s="51"/>
      <c r="MI34" s="51"/>
      <c r="MJ34" s="51"/>
      <c r="MK34" s="51"/>
      <c r="ML34" s="51"/>
      <c r="MM34" s="51"/>
      <c r="MN34" s="51"/>
      <c r="MO34" s="51"/>
      <c r="MP34" s="51"/>
      <c r="MQ34" s="51"/>
      <c r="MR34" s="51"/>
      <c r="MS34" s="51"/>
      <c r="MT34" s="51"/>
      <c r="MU34" s="51"/>
      <c r="MV34" s="51"/>
      <c r="MW34" s="51"/>
      <c r="MX34" s="51"/>
      <c r="MY34" s="51"/>
      <c r="MZ34" s="51"/>
      <c r="NA34" s="51"/>
      <c r="NB34" s="51"/>
      <c r="NC34" s="51"/>
      <c r="ND34" s="51"/>
      <c r="NE34" s="51"/>
      <c r="NF34" s="51"/>
      <c r="NG34" s="51"/>
      <c r="NH34" s="51"/>
      <c r="NI34" s="51"/>
      <c r="NJ34" s="51"/>
      <c r="NK34" s="51"/>
      <c r="NL34" s="51"/>
      <c r="NM34" s="51"/>
      <c r="NN34" s="51"/>
      <c r="NO34" s="51"/>
      <c r="NP34" s="51"/>
      <c r="NQ34" s="51"/>
      <c r="NR34" s="51"/>
      <c r="NS34" s="51"/>
      <c r="NT34" s="51"/>
      <c r="NU34" s="51"/>
      <c r="NV34" s="51"/>
      <c r="NW34" s="51"/>
    </row>
    <row r="35" spans="1:387" s="36" customFormat="1" ht="30.75" customHeight="1" thickBot="1" x14ac:dyDescent="0.45">
      <c r="A35" s="304" t="s">
        <v>30</v>
      </c>
      <c r="B35" s="305"/>
      <c r="C35" s="174">
        <f t="shared" ref="C35:J35" si="17">C36+C40+C37+C38+C39</f>
        <v>3290138.18</v>
      </c>
      <c r="D35" s="174">
        <f t="shared" si="17"/>
        <v>3367488.98</v>
      </c>
      <c r="E35" s="174">
        <f t="shared" si="17"/>
        <v>3419899.9</v>
      </c>
      <c r="F35" s="174">
        <f t="shared" si="17"/>
        <v>3511013</v>
      </c>
      <c r="G35" s="174">
        <f t="shared" si="17"/>
        <v>3463499.39</v>
      </c>
      <c r="H35" s="174">
        <f t="shared" si="17"/>
        <v>5048389.49</v>
      </c>
      <c r="I35" s="174">
        <f t="shared" si="17"/>
        <v>4033277.9000000004</v>
      </c>
      <c r="J35" s="174">
        <f t="shared" si="17"/>
        <v>5234319.9200000009</v>
      </c>
      <c r="K35" s="174">
        <f t="shared" ref="K35:N35" si="18">K36+K40+K37+K38+K39</f>
        <v>3783174.88</v>
      </c>
      <c r="L35" s="174">
        <f t="shared" si="18"/>
        <v>3801527.81</v>
      </c>
      <c r="M35" s="174">
        <f t="shared" si="18"/>
        <v>4062596.4899999998</v>
      </c>
      <c r="N35" s="174">
        <f t="shared" si="18"/>
        <v>3673598.56</v>
      </c>
      <c r="O35" s="245">
        <f t="shared" ref="O35" si="19">O36+O40+O37+O38+O39</f>
        <v>46688924.500000007</v>
      </c>
      <c r="P35" s="169"/>
      <c r="Q35" s="239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</row>
    <row r="36" spans="1:387" s="55" customFormat="1" ht="24.75" customHeight="1" x14ac:dyDescent="0.3">
      <c r="A36" s="103" t="s">
        <v>62</v>
      </c>
      <c r="B36" s="104" t="s">
        <v>36</v>
      </c>
      <c r="C36" s="175">
        <v>3290138.18</v>
      </c>
      <c r="D36" s="175">
        <v>3367488.98</v>
      </c>
      <c r="E36" s="175">
        <f>3406012.78+13887.12</f>
        <v>3419899.9</v>
      </c>
      <c r="F36" s="176">
        <f>3497125.88+13887.12</f>
        <v>3511013</v>
      </c>
      <c r="G36" s="175">
        <f>3460396.4+3102.99</f>
        <v>3463499.39</v>
      </c>
      <c r="H36" s="175">
        <f>5043735+4654.49</f>
        <v>5048389.49</v>
      </c>
      <c r="I36" s="175">
        <f>4030174.91+3102.99</f>
        <v>4033277.9000000004</v>
      </c>
      <c r="J36" s="176">
        <f>5229665.44+4654.48</f>
        <v>5234319.9200000009</v>
      </c>
      <c r="K36" s="175">
        <f>3779756.63+3418.25</f>
        <v>3783174.88</v>
      </c>
      <c r="L36" s="175">
        <f>3798109.56+3418.25</f>
        <v>3801527.81</v>
      </c>
      <c r="M36" s="175">
        <f>3760952.34+3418.25</f>
        <v>3764370.59</v>
      </c>
      <c r="N36" s="176">
        <f>3670180.31+3418.25</f>
        <v>3673598.56</v>
      </c>
      <c r="O36" s="177">
        <f t="shared" ref="O36:O43" si="20">SUM(C36:N36)</f>
        <v>46390698.600000009</v>
      </c>
      <c r="P36" s="178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1"/>
      <c r="IO36" s="71"/>
      <c r="IP36" s="71"/>
      <c r="IQ36" s="71"/>
      <c r="IR36" s="71"/>
      <c r="IS36" s="71"/>
      <c r="IT36" s="71"/>
      <c r="IU36" s="71"/>
      <c r="IV36" s="71"/>
      <c r="IW36" s="71"/>
      <c r="IX36" s="71"/>
      <c r="IY36" s="71"/>
      <c r="IZ36" s="71"/>
      <c r="JA36" s="71"/>
      <c r="JB36" s="71"/>
      <c r="JC36" s="71"/>
      <c r="JD36" s="71"/>
      <c r="JE36" s="71"/>
      <c r="JF36" s="71"/>
      <c r="JG36" s="71"/>
      <c r="JH36" s="71"/>
      <c r="JI36" s="71"/>
      <c r="JJ36" s="71"/>
      <c r="JK36" s="71"/>
      <c r="JL36" s="71"/>
      <c r="JM36" s="71"/>
      <c r="JN36" s="71"/>
      <c r="JO36" s="71"/>
      <c r="JP36" s="71"/>
      <c r="JQ36" s="71"/>
      <c r="JR36" s="71"/>
      <c r="JS36" s="71"/>
      <c r="JT36" s="71"/>
      <c r="JU36" s="71"/>
      <c r="JV36" s="71"/>
      <c r="JW36" s="71"/>
      <c r="JX36" s="71"/>
      <c r="JY36" s="71"/>
      <c r="JZ36" s="71"/>
      <c r="KA36" s="71"/>
      <c r="KB36" s="71"/>
      <c r="KC36" s="71"/>
      <c r="KD36" s="71"/>
      <c r="KE36" s="71"/>
      <c r="KF36" s="71"/>
      <c r="KG36" s="71"/>
      <c r="KH36" s="71"/>
      <c r="KI36" s="71"/>
      <c r="KJ36" s="71"/>
      <c r="KK36" s="71"/>
      <c r="KL36" s="71"/>
      <c r="KM36" s="71"/>
      <c r="KN36" s="71"/>
      <c r="KO36" s="71"/>
      <c r="KP36" s="71"/>
      <c r="KQ36" s="71"/>
      <c r="KR36" s="71"/>
      <c r="KS36" s="71"/>
      <c r="KT36" s="71"/>
      <c r="KU36" s="71"/>
      <c r="KV36" s="71"/>
      <c r="KW36" s="71"/>
      <c r="KX36" s="71"/>
      <c r="KY36" s="71"/>
      <c r="KZ36" s="71"/>
      <c r="LA36" s="71"/>
      <c r="LB36" s="71"/>
      <c r="LC36" s="71"/>
      <c r="LD36" s="71"/>
      <c r="LE36" s="71"/>
      <c r="LF36" s="71"/>
      <c r="LG36" s="71"/>
      <c r="LH36" s="71"/>
      <c r="LI36" s="71"/>
      <c r="LJ36" s="71"/>
      <c r="LK36" s="71"/>
      <c r="LL36" s="71"/>
      <c r="LM36" s="71"/>
      <c r="LN36" s="71"/>
      <c r="LO36" s="71"/>
      <c r="LP36" s="71"/>
      <c r="LQ36" s="71"/>
      <c r="LR36" s="71"/>
      <c r="LS36" s="71"/>
      <c r="LT36" s="71"/>
      <c r="LU36" s="71"/>
      <c r="LV36" s="71"/>
      <c r="LW36" s="71"/>
      <c r="LX36" s="71"/>
      <c r="LY36" s="71"/>
      <c r="LZ36" s="71"/>
      <c r="MA36" s="71"/>
      <c r="MB36" s="71"/>
      <c r="MC36" s="71"/>
      <c r="MD36" s="71"/>
      <c r="ME36" s="71"/>
      <c r="MF36" s="71"/>
      <c r="MG36" s="71"/>
      <c r="MH36" s="71"/>
      <c r="MI36" s="71"/>
      <c r="MJ36" s="71"/>
      <c r="MK36" s="71"/>
      <c r="ML36" s="71"/>
      <c r="MM36" s="71"/>
      <c r="MN36" s="71"/>
      <c r="MO36" s="71"/>
      <c r="MP36" s="71"/>
      <c r="MQ36" s="71"/>
      <c r="MR36" s="71"/>
      <c r="MS36" s="71"/>
      <c r="MT36" s="71"/>
      <c r="MU36" s="71"/>
      <c r="MV36" s="71"/>
      <c r="MW36" s="71"/>
      <c r="MX36" s="71"/>
      <c r="MY36" s="71"/>
      <c r="MZ36" s="71"/>
      <c r="NA36" s="71"/>
      <c r="NB36" s="71"/>
      <c r="NC36" s="71"/>
      <c r="ND36" s="71"/>
      <c r="NE36" s="71"/>
      <c r="NF36" s="71"/>
      <c r="NG36" s="71"/>
      <c r="NH36" s="71"/>
      <c r="NI36" s="71"/>
      <c r="NJ36" s="71"/>
      <c r="NK36" s="71"/>
      <c r="NL36" s="71"/>
      <c r="NM36" s="71"/>
      <c r="NN36" s="71"/>
      <c r="NO36" s="71"/>
      <c r="NP36" s="71"/>
      <c r="NQ36" s="71"/>
      <c r="NR36" s="71"/>
      <c r="NS36" s="71"/>
      <c r="NT36" s="71"/>
      <c r="NU36" s="71"/>
      <c r="NV36" s="71"/>
      <c r="NW36" s="71"/>
    </row>
    <row r="37" spans="1:387" s="72" customFormat="1" ht="39" customHeight="1" x14ac:dyDescent="0.3">
      <c r="A37" s="105" t="s">
        <v>63</v>
      </c>
      <c r="B37" s="106" t="s">
        <v>64</v>
      </c>
      <c r="C37" s="179"/>
      <c r="D37" s="179"/>
      <c r="E37" s="179"/>
      <c r="F37" s="180"/>
      <c r="G37" s="179"/>
      <c r="H37" s="179"/>
      <c r="I37" s="179"/>
      <c r="J37" s="180"/>
      <c r="K37" s="179"/>
      <c r="L37" s="179"/>
      <c r="M37" s="179"/>
      <c r="N37" s="180"/>
      <c r="O37" s="181">
        <f t="shared" si="20"/>
        <v>0</v>
      </c>
      <c r="P37" s="182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  <c r="IW37" s="71"/>
      <c r="IX37" s="71"/>
      <c r="IY37" s="71"/>
      <c r="IZ37" s="71"/>
      <c r="JA37" s="71"/>
      <c r="JB37" s="71"/>
      <c r="JC37" s="71"/>
      <c r="JD37" s="71"/>
      <c r="JE37" s="71"/>
      <c r="JF37" s="71"/>
      <c r="JG37" s="71"/>
      <c r="JH37" s="71"/>
      <c r="JI37" s="71"/>
      <c r="JJ37" s="71"/>
      <c r="JK37" s="71"/>
      <c r="JL37" s="71"/>
      <c r="JM37" s="71"/>
      <c r="JN37" s="71"/>
      <c r="JO37" s="71"/>
      <c r="JP37" s="71"/>
      <c r="JQ37" s="71"/>
      <c r="JR37" s="71"/>
      <c r="JS37" s="71"/>
      <c r="JT37" s="71"/>
      <c r="JU37" s="71"/>
      <c r="JV37" s="71"/>
      <c r="JW37" s="71"/>
      <c r="JX37" s="71"/>
      <c r="JY37" s="71"/>
      <c r="JZ37" s="71"/>
      <c r="KA37" s="71"/>
      <c r="KB37" s="71"/>
      <c r="KC37" s="71"/>
      <c r="KD37" s="71"/>
      <c r="KE37" s="71"/>
      <c r="KF37" s="71"/>
      <c r="KG37" s="71"/>
      <c r="KH37" s="71"/>
      <c r="KI37" s="71"/>
      <c r="KJ37" s="71"/>
      <c r="KK37" s="71"/>
      <c r="KL37" s="71"/>
      <c r="KM37" s="71"/>
      <c r="KN37" s="71"/>
      <c r="KO37" s="71"/>
      <c r="KP37" s="71"/>
      <c r="KQ37" s="71"/>
      <c r="KR37" s="71"/>
      <c r="KS37" s="71"/>
      <c r="KT37" s="71"/>
      <c r="KU37" s="71"/>
      <c r="KV37" s="71"/>
      <c r="KW37" s="71"/>
      <c r="KX37" s="71"/>
      <c r="KY37" s="71"/>
      <c r="KZ37" s="71"/>
      <c r="LA37" s="71"/>
      <c r="LB37" s="71"/>
      <c r="LC37" s="71"/>
      <c r="LD37" s="71"/>
      <c r="LE37" s="71"/>
      <c r="LF37" s="71"/>
      <c r="LG37" s="71"/>
      <c r="LH37" s="71"/>
      <c r="LI37" s="71"/>
      <c r="LJ37" s="71"/>
      <c r="LK37" s="71"/>
      <c r="LL37" s="71"/>
      <c r="LM37" s="71"/>
      <c r="LN37" s="71"/>
      <c r="LO37" s="71"/>
      <c r="LP37" s="71"/>
      <c r="LQ37" s="71"/>
      <c r="LR37" s="71"/>
      <c r="LS37" s="71"/>
      <c r="LT37" s="71"/>
      <c r="LU37" s="71"/>
      <c r="LV37" s="71"/>
      <c r="LW37" s="71"/>
      <c r="LX37" s="71"/>
      <c r="LY37" s="71"/>
      <c r="LZ37" s="71"/>
      <c r="MA37" s="71"/>
      <c r="MB37" s="71"/>
      <c r="MC37" s="71"/>
      <c r="MD37" s="71"/>
      <c r="ME37" s="71"/>
      <c r="MF37" s="71"/>
      <c r="MG37" s="71"/>
      <c r="MH37" s="71"/>
      <c r="MI37" s="71"/>
      <c r="MJ37" s="71"/>
      <c r="MK37" s="71"/>
      <c r="ML37" s="71"/>
      <c r="MM37" s="71"/>
      <c r="MN37" s="71"/>
      <c r="MO37" s="71"/>
      <c r="MP37" s="71"/>
      <c r="MQ37" s="71"/>
      <c r="MR37" s="71"/>
      <c r="MS37" s="71"/>
      <c r="MT37" s="71"/>
      <c r="MU37" s="71"/>
      <c r="MV37" s="71"/>
      <c r="MW37" s="71"/>
      <c r="MX37" s="71"/>
      <c r="MY37" s="71"/>
      <c r="MZ37" s="71"/>
      <c r="NA37" s="71"/>
      <c r="NB37" s="71"/>
      <c r="NC37" s="71"/>
      <c r="ND37" s="71"/>
      <c r="NE37" s="71"/>
      <c r="NF37" s="71"/>
      <c r="NG37" s="71"/>
      <c r="NH37" s="71"/>
      <c r="NI37" s="71"/>
      <c r="NJ37" s="71"/>
      <c r="NK37" s="71"/>
      <c r="NL37" s="71"/>
      <c r="NM37" s="71"/>
      <c r="NN37" s="71"/>
      <c r="NO37" s="71"/>
      <c r="NP37" s="71"/>
      <c r="NQ37" s="71"/>
      <c r="NR37" s="71"/>
      <c r="NS37" s="71"/>
      <c r="NT37" s="71"/>
      <c r="NU37" s="71"/>
      <c r="NV37" s="71"/>
      <c r="NW37" s="71"/>
    </row>
    <row r="38" spans="1:387" s="72" customFormat="1" ht="34.5" customHeight="1" x14ac:dyDescent="0.3">
      <c r="A38" s="107" t="s">
        <v>58</v>
      </c>
      <c r="B38" s="108" t="s">
        <v>59</v>
      </c>
      <c r="C38" s="183"/>
      <c r="D38" s="183"/>
      <c r="E38" s="183"/>
      <c r="F38" s="184"/>
      <c r="G38" s="183"/>
      <c r="H38" s="183"/>
      <c r="I38" s="183"/>
      <c r="J38" s="184"/>
      <c r="K38" s="183"/>
      <c r="L38" s="183"/>
      <c r="M38" s="183"/>
      <c r="N38" s="184"/>
      <c r="O38" s="181">
        <f t="shared" si="20"/>
        <v>0</v>
      </c>
      <c r="P38" s="185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  <c r="IW38" s="71"/>
      <c r="IX38" s="71"/>
      <c r="IY38" s="71"/>
      <c r="IZ38" s="71"/>
      <c r="JA38" s="71"/>
      <c r="JB38" s="71"/>
      <c r="JC38" s="71"/>
      <c r="JD38" s="71"/>
      <c r="JE38" s="71"/>
      <c r="JF38" s="71"/>
      <c r="JG38" s="71"/>
      <c r="JH38" s="71"/>
      <c r="JI38" s="71"/>
      <c r="JJ38" s="71"/>
      <c r="JK38" s="71"/>
      <c r="JL38" s="71"/>
      <c r="JM38" s="71"/>
      <c r="JN38" s="71"/>
      <c r="JO38" s="71"/>
      <c r="JP38" s="71"/>
      <c r="JQ38" s="71"/>
      <c r="JR38" s="71"/>
      <c r="JS38" s="71"/>
      <c r="JT38" s="71"/>
      <c r="JU38" s="71"/>
      <c r="JV38" s="71"/>
      <c r="JW38" s="71"/>
      <c r="JX38" s="71"/>
      <c r="JY38" s="71"/>
      <c r="JZ38" s="71"/>
      <c r="KA38" s="71"/>
      <c r="KB38" s="71"/>
      <c r="KC38" s="71"/>
      <c r="KD38" s="71"/>
      <c r="KE38" s="71"/>
      <c r="KF38" s="71"/>
      <c r="KG38" s="71"/>
      <c r="KH38" s="71"/>
      <c r="KI38" s="71"/>
      <c r="KJ38" s="71"/>
      <c r="KK38" s="71"/>
      <c r="KL38" s="71"/>
      <c r="KM38" s="71"/>
      <c r="KN38" s="71"/>
      <c r="KO38" s="71"/>
      <c r="KP38" s="71"/>
      <c r="KQ38" s="71"/>
      <c r="KR38" s="71"/>
      <c r="KS38" s="71"/>
      <c r="KT38" s="71"/>
      <c r="KU38" s="71"/>
      <c r="KV38" s="71"/>
      <c r="KW38" s="71"/>
      <c r="KX38" s="71"/>
      <c r="KY38" s="71"/>
      <c r="KZ38" s="71"/>
      <c r="LA38" s="71"/>
      <c r="LB38" s="71"/>
      <c r="LC38" s="71"/>
      <c r="LD38" s="71"/>
      <c r="LE38" s="71"/>
      <c r="LF38" s="71"/>
      <c r="LG38" s="71"/>
      <c r="LH38" s="71"/>
      <c r="LI38" s="71"/>
      <c r="LJ38" s="71"/>
      <c r="LK38" s="71"/>
      <c r="LL38" s="71"/>
      <c r="LM38" s="71"/>
      <c r="LN38" s="71"/>
      <c r="LO38" s="71"/>
      <c r="LP38" s="71"/>
      <c r="LQ38" s="71"/>
      <c r="LR38" s="71"/>
      <c r="LS38" s="71"/>
      <c r="LT38" s="71"/>
      <c r="LU38" s="71"/>
      <c r="LV38" s="71"/>
      <c r="LW38" s="71"/>
      <c r="LX38" s="71"/>
      <c r="LY38" s="71"/>
      <c r="LZ38" s="71"/>
      <c r="MA38" s="71"/>
      <c r="MB38" s="71"/>
      <c r="MC38" s="71"/>
      <c r="MD38" s="71"/>
      <c r="ME38" s="71"/>
      <c r="MF38" s="71"/>
      <c r="MG38" s="71"/>
      <c r="MH38" s="71"/>
      <c r="MI38" s="71"/>
      <c r="MJ38" s="71"/>
      <c r="MK38" s="71"/>
      <c r="ML38" s="71"/>
      <c r="MM38" s="71"/>
      <c r="MN38" s="71"/>
      <c r="MO38" s="71"/>
      <c r="MP38" s="71"/>
      <c r="MQ38" s="71"/>
      <c r="MR38" s="71"/>
      <c r="MS38" s="71"/>
      <c r="MT38" s="71"/>
      <c r="MU38" s="71"/>
      <c r="MV38" s="71"/>
      <c r="MW38" s="71"/>
      <c r="MX38" s="71"/>
      <c r="MY38" s="71"/>
      <c r="MZ38" s="71"/>
      <c r="NA38" s="71"/>
      <c r="NB38" s="71"/>
      <c r="NC38" s="71"/>
      <c r="ND38" s="71"/>
      <c r="NE38" s="71"/>
      <c r="NF38" s="71"/>
      <c r="NG38" s="71"/>
      <c r="NH38" s="71"/>
      <c r="NI38" s="71"/>
      <c r="NJ38" s="71"/>
      <c r="NK38" s="71"/>
      <c r="NL38" s="71"/>
      <c r="NM38" s="71"/>
      <c r="NN38" s="71"/>
      <c r="NO38" s="71"/>
      <c r="NP38" s="71"/>
      <c r="NQ38" s="71"/>
      <c r="NR38" s="71"/>
      <c r="NS38" s="71"/>
      <c r="NT38" s="71"/>
      <c r="NU38" s="71"/>
      <c r="NV38" s="71"/>
      <c r="NW38" s="71"/>
    </row>
    <row r="39" spans="1:387" s="72" customFormat="1" ht="24.75" customHeight="1" x14ac:dyDescent="0.3">
      <c r="A39" s="107" t="s">
        <v>60</v>
      </c>
      <c r="B39" s="109" t="s">
        <v>61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1">
        <f t="shared" si="20"/>
        <v>0</v>
      </c>
      <c r="P39" s="155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  <c r="JJ39" s="71"/>
      <c r="JK39" s="71"/>
      <c r="JL39" s="71"/>
      <c r="JM39" s="71"/>
      <c r="JN39" s="71"/>
      <c r="JO39" s="71"/>
      <c r="JP39" s="71"/>
      <c r="JQ39" s="71"/>
      <c r="JR39" s="71"/>
      <c r="JS39" s="71"/>
      <c r="JT39" s="71"/>
      <c r="JU39" s="71"/>
      <c r="JV39" s="71"/>
      <c r="JW39" s="71"/>
      <c r="JX39" s="71"/>
      <c r="JY39" s="71"/>
      <c r="JZ39" s="71"/>
      <c r="KA39" s="71"/>
      <c r="KB39" s="71"/>
      <c r="KC39" s="71"/>
      <c r="KD39" s="71"/>
      <c r="KE39" s="71"/>
      <c r="KF39" s="71"/>
      <c r="KG39" s="71"/>
      <c r="KH39" s="71"/>
      <c r="KI39" s="71"/>
      <c r="KJ39" s="71"/>
      <c r="KK39" s="71"/>
      <c r="KL39" s="71"/>
      <c r="KM39" s="71"/>
      <c r="KN39" s="71"/>
      <c r="KO39" s="71"/>
      <c r="KP39" s="71"/>
      <c r="KQ39" s="71"/>
      <c r="KR39" s="71"/>
      <c r="KS39" s="71"/>
      <c r="KT39" s="71"/>
      <c r="KU39" s="71"/>
      <c r="KV39" s="71"/>
      <c r="KW39" s="71"/>
      <c r="KX39" s="71"/>
      <c r="KY39" s="71"/>
      <c r="KZ39" s="71"/>
      <c r="LA39" s="71"/>
      <c r="LB39" s="71"/>
      <c r="LC39" s="71"/>
      <c r="LD39" s="71"/>
      <c r="LE39" s="71"/>
      <c r="LF39" s="71"/>
      <c r="LG39" s="71"/>
      <c r="LH39" s="71"/>
      <c r="LI39" s="71"/>
      <c r="LJ39" s="71"/>
      <c r="LK39" s="71"/>
      <c r="LL39" s="71"/>
      <c r="LM39" s="71"/>
      <c r="LN39" s="71"/>
      <c r="LO39" s="71"/>
      <c r="LP39" s="71"/>
      <c r="LQ39" s="71"/>
      <c r="LR39" s="71"/>
      <c r="LS39" s="71"/>
      <c r="LT39" s="71"/>
      <c r="LU39" s="71"/>
      <c r="LV39" s="71"/>
      <c r="LW39" s="71"/>
      <c r="LX39" s="71"/>
      <c r="LY39" s="71"/>
      <c r="LZ39" s="71"/>
      <c r="MA39" s="71"/>
      <c r="MB39" s="71"/>
      <c r="MC39" s="71"/>
      <c r="MD39" s="71"/>
      <c r="ME39" s="71"/>
      <c r="MF39" s="71"/>
      <c r="MG39" s="71"/>
      <c r="MH39" s="71"/>
      <c r="MI39" s="71"/>
      <c r="MJ39" s="71"/>
      <c r="MK39" s="71"/>
      <c r="ML39" s="71"/>
      <c r="MM39" s="71"/>
      <c r="MN39" s="71"/>
      <c r="MO39" s="71"/>
      <c r="MP39" s="71"/>
      <c r="MQ39" s="71"/>
      <c r="MR39" s="71"/>
      <c r="MS39" s="71"/>
      <c r="MT39" s="71"/>
      <c r="MU39" s="71"/>
      <c r="MV39" s="71"/>
      <c r="MW39" s="71"/>
      <c r="MX39" s="71"/>
      <c r="MY39" s="71"/>
      <c r="MZ39" s="71"/>
      <c r="NA39" s="71"/>
      <c r="NB39" s="71"/>
      <c r="NC39" s="71"/>
      <c r="ND39" s="71"/>
      <c r="NE39" s="71"/>
      <c r="NF39" s="71"/>
      <c r="NG39" s="71"/>
      <c r="NH39" s="71"/>
      <c r="NI39" s="71"/>
      <c r="NJ39" s="71"/>
      <c r="NK39" s="71"/>
      <c r="NL39" s="71"/>
      <c r="NM39" s="71"/>
      <c r="NN39" s="71"/>
      <c r="NO39" s="71"/>
      <c r="NP39" s="71"/>
      <c r="NQ39" s="71"/>
      <c r="NR39" s="71"/>
      <c r="NS39" s="71"/>
      <c r="NT39" s="71"/>
      <c r="NU39" s="71"/>
      <c r="NV39" s="71"/>
      <c r="NW39" s="71"/>
    </row>
    <row r="40" spans="1:387" s="72" customFormat="1" ht="35.25" customHeight="1" thickBot="1" x14ac:dyDescent="0.35">
      <c r="A40" s="110" t="s">
        <v>11</v>
      </c>
      <c r="B40" s="111" t="s">
        <v>66</v>
      </c>
      <c r="C40" s="187"/>
      <c r="D40" s="187"/>
      <c r="E40" s="187"/>
      <c r="F40" s="188"/>
      <c r="G40" s="187"/>
      <c r="H40" s="187"/>
      <c r="I40" s="187"/>
      <c r="J40" s="188"/>
      <c r="K40" s="186"/>
      <c r="L40" s="186"/>
      <c r="M40" s="187">
        <v>298225.90000000002</v>
      </c>
      <c r="N40" s="188"/>
      <c r="O40" s="181">
        <f t="shared" si="20"/>
        <v>298225.90000000002</v>
      </c>
      <c r="P40" s="182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</row>
    <row r="41" spans="1:387" s="29" customFormat="1" ht="77.25" customHeight="1" thickBot="1" x14ac:dyDescent="0.5">
      <c r="A41" s="306" t="s">
        <v>33</v>
      </c>
      <c r="B41" s="306"/>
      <c r="C41" s="189">
        <f t="shared" ref="C41:J41" si="21">C42</f>
        <v>0</v>
      </c>
      <c r="D41" s="189">
        <f t="shared" si="21"/>
        <v>0</v>
      </c>
      <c r="E41" s="189">
        <f t="shared" si="21"/>
        <v>0</v>
      </c>
      <c r="F41" s="189">
        <f t="shared" si="21"/>
        <v>0</v>
      </c>
      <c r="G41" s="189">
        <f t="shared" si="21"/>
        <v>0</v>
      </c>
      <c r="H41" s="189">
        <f t="shared" si="21"/>
        <v>0</v>
      </c>
      <c r="I41" s="189">
        <f t="shared" si="21"/>
        <v>0</v>
      </c>
      <c r="J41" s="189">
        <f t="shared" si="21"/>
        <v>0</v>
      </c>
      <c r="K41" s="189">
        <f t="shared" ref="K41:N41" si="22">K42</f>
        <v>0</v>
      </c>
      <c r="L41" s="189">
        <f t="shared" si="22"/>
        <v>4718.3999999999996</v>
      </c>
      <c r="M41" s="189">
        <f t="shared" si="22"/>
        <v>0</v>
      </c>
      <c r="N41" s="189">
        <f t="shared" si="22"/>
        <v>0</v>
      </c>
      <c r="O41" s="190">
        <f t="shared" si="20"/>
        <v>4718.3999999999996</v>
      </c>
      <c r="P41" s="19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</row>
    <row r="42" spans="1:387" s="8" customFormat="1" ht="54" customHeight="1" x14ac:dyDescent="0.2">
      <c r="A42" s="112" t="s">
        <v>136</v>
      </c>
      <c r="B42" s="113" t="s">
        <v>9</v>
      </c>
      <c r="C42" s="170">
        <v>0</v>
      </c>
      <c r="D42" s="170">
        <v>0</v>
      </c>
      <c r="E42" s="170">
        <v>0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v>4718.3999999999996</v>
      </c>
      <c r="M42" s="170">
        <v>0</v>
      </c>
      <c r="N42" s="170">
        <v>0</v>
      </c>
      <c r="O42" s="192">
        <f t="shared" si="20"/>
        <v>4718.3999999999996</v>
      </c>
      <c r="P42" s="19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</row>
    <row r="43" spans="1:387" s="8" customFormat="1" ht="54" customHeight="1" thickBot="1" x14ac:dyDescent="0.25">
      <c r="A43" s="310" t="s">
        <v>112</v>
      </c>
      <c r="B43" s="311"/>
      <c r="C43" s="194">
        <v>0</v>
      </c>
      <c r="D43" s="194">
        <v>0</v>
      </c>
      <c r="E43" s="194">
        <v>0</v>
      </c>
      <c r="F43" s="194">
        <v>0</v>
      </c>
      <c r="G43" s="194">
        <v>0</v>
      </c>
      <c r="H43" s="194">
        <v>0</v>
      </c>
      <c r="I43" s="194">
        <v>0</v>
      </c>
      <c r="J43" s="194">
        <v>0</v>
      </c>
      <c r="K43" s="194">
        <v>0</v>
      </c>
      <c r="L43" s="194">
        <v>0</v>
      </c>
      <c r="M43" s="194">
        <v>0</v>
      </c>
      <c r="N43" s="194">
        <v>0</v>
      </c>
      <c r="O43" s="195">
        <f t="shared" si="20"/>
        <v>0</v>
      </c>
      <c r="P43" s="19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</row>
    <row r="44" spans="1:387" s="45" customFormat="1" ht="47.25" customHeight="1" thickTop="1" thickBot="1" x14ac:dyDescent="0.25">
      <c r="A44" s="321" t="s">
        <v>32</v>
      </c>
      <c r="B44" s="321"/>
      <c r="C44" s="196">
        <f t="shared" ref="C44:J44" si="23">C45+C47+C49+C51</f>
        <v>14895046.59</v>
      </c>
      <c r="D44" s="196">
        <f t="shared" si="23"/>
        <v>14887603.030000001</v>
      </c>
      <c r="E44" s="196">
        <f t="shared" si="23"/>
        <v>15009704.389999999</v>
      </c>
      <c r="F44" s="196">
        <f t="shared" si="23"/>
        <v>16675207.670000002</v>
      </c>
      <c r="G44" s="196">
        <f t="shared" si="23"/>
        <v>20121270.349999998</v>
      </c>
      <c r="H44" s="196">
        <f t="shared" si="23"/>
        <v>19916994.84</v>
      </c>
      <c r="I44" s="196">
        <f t="shared" si="23"/>
        <v>18362712.050000001</v>
      </c>
      <c r="J44" s="196">
        <f t="shared" si="23"/>
        <v>75110578.520000011</v>
      </c>
      <c r="K44" s="196">
        <f t="shared" ref="K44:N44" si="24">K45+K47+K49+K51</f>
        <v>16384555.08</v>
      </c>
      <c r="L44" s="196">
        <f t="shared" si="24"/>
        <v>16152691.15</v>
      </c>
      <c r="M44" s="196">
        <f t="shared" si="24"/>
        <v>16428308.149999999</v>
      </c>
      <c r="N44" s="196">
        <f t="shared" si="24"/>
        <v>15996445.77</v>
      </c>
      <c r="O44" s="197">
        <f t="shared" ref="O44" si="25">O45+O47+O49+O51</f>
        <v>259941117.58999997</v>
      </c>
      <c r="P44" s="198"/>
      <c r="Q44" s="239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  <c r="NO44" s="44"/>
      <c r="NP44" s="44"/>
      <c r="NQ44" s="44"/>
      <c r="NR44" s="44"/>
      <c r="NS44" s="44"/>
      <c r="NT44" s="44"/>
      <c r="NU44" s="44"/>
      <c r="NV44" s="44"/>
      <c r="NW44" s="44"/>
    </row>
    <row r="45" spans="1:387" s="59" customFormat="1" ht="37.5" customHeight="1" thickTop="1" x14ac:dyDescent="0.25">
      <c r="A45" s="322" t="s">
        <v>133</v>
      </c>
      <c r="B45" s="323"/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200">
        <f>SUM(C45:N45)</f>
        <v>0</v>
      </c>
      <c r="P45" s="198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8"/>
      <c r="JD45" s="58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  <c r="KS45" s="58"/>
      <c r="KT45" s="58"/>
      <c r="KU45" s="58"/>
      <c r="KV45" s="58"/>
      <c r="KW45" s="58"/>
      <c r="KX45" s="58"/>
      <c r="KY45" s="58"/>
      <c r="KZ45" s="58"/>
      <c r="LA45" s="58"/>
      <c r="LB45" s="58"/>
      <c r="LC45" s="58"/>
      <c r="LD45" s="58"/>
      <c r="LE45" s="58"/>
      <c r="LF45" s="58"/>
      <c r="LG45" s="58"/>
      <c r="LH45" s="58"/>
      <c r="LI45" s="58"/>
      <c r="LJ45" s="58"/>
      <c r="LK45" s="58"/>
      <c r="LL45" s="58"/>
      <c r="LM45" s="58"/>
      <c r="LN45" s="58"/>
      <c r="LO45" s="58"/>
      <c r="LP45" s="58"/>
      <c r="LQ45" s="58"/>
      <c r="LR45" s="58"/>
      <c r="LS45" s="58"/>
      <c r="LT45" s="58"/>
      <c r="LU45" s="58"/>
      <c r="LV45" s="58"/>
      <c r="LW45" s="58"/>
      <c r="LX45" s="58"/>
      <c r="LY45" s="58"/>
      <c r="LZ45" s="58"/>
      <c r="MA45" s="58"/>
      <c r="MB45" s="58"/>
      <c r="MC45" s="58"/>
      <c r="MD45" s="58"/>
      <c r="ME45" s="58"/>
      <c r="MF45" s="58"/>
      <c r="MG45" s="58"/>
      <c r="MH45" s="58"/>
      <c r="MI45" s="58"/>
      <c r="MJ45" s="58"/>
      <c r="MK45" s="58"/>
      <c r="ML45" s="58"/>
      <c r="MM45" s="58"/>
      <c r="MN45" s="58"/>
      <c r="MO45" s="58"/>
      <c r="MP45" s="58"/>
      <c r="MQ45" s="58"/>
      <c r="MR45" s="58"/>
      <c r="MS45" s="58"/>
      <c r="MT45" s="58"/>
      <c r="MU45" s="58"/>
      <c r="MV45" s="58"/>
      <c r="MW45" s="58"/>
      <c r="MX45" s="58"/>
      <c r="MY45" s="58"/>
      <c r="MZ45" s="58"/>
      <c r="NA45" s="58"/>
      <c r="NB45" s="58"/>
      <c r="NC45" s="58"/>
      <c r="ND45" s="58"/>
      <c r="NE45" s="58"/>
      <c r="NF45" s="58"/>
      <c r="NG45" s="58"/>
      <c r="NH45" s="58"/>
      <c r="NI45" s="58"/>
      <c r="NJ45" s="58"/>
      <c r="NK45" s="58"/>
      <c r="NL45" s="58"/>
      <c r="NM45" s="58"/>
      <c r="NN45" s="58"/>
      <c r="NO45" s="58"/>
      <c r="NP45" s="58"/>
      <c r="NQ45" s="58"/>
      <c r="NR45" s="58"/>
      <c r="NS45" s="58"/>
      <c r="NT45" s="58"/>
      <c r="NU45" s="58"/>
      <c r="NV45" s="58"/>
      <c r="NW45" s="58"/>
    </row>
    <row r="46" spans="1:387" s="61" customFormat="1" ht="7.5" customHeight="1" x14ac:dyDescent="0.3">
      <c r="A46" s="324"/>
      <c r="B46" s="325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201"/>
      <c r="P46" s="202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60"/>
      <c r="IO46" s="60"/>
      <c r="IP46" s="60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  <c r="KC46" s="60"/>
      <c r="KD46" s="60"/>
      <c r="KE46" s="60"/>
      <c r="KF46" s="60"/>
      <c r="KG46" s="60"/>
      <c r="KH46" s="60"/>
      <c r="KI46" s="60"/>
      <c r="KJ46" s="60"/>
      <c r="KK46" s="60"/>
      <c r="KL46" s="60"/>
      <c r="KM46" s="60"/>
      <c r="KN46" s="60"/>
      <c r="KO46" s="60"/>
      <c r="KP46" s="60"/>
      <c r="KQ46" s="60"/>
      <c r="KR46" s="60"/>
      <c r="KS46" s="60"/>
      <c r="KT46" s="60"/>
      <c r="KU46" s="60"/>
      <c r="KV46" s="60"/>
      <c r="KW46" s="60"/>
      <c r="KX46" s="60"/>
      <c r="KY46" s="60"/>
      <c r="KZ46" s="60"/>
      <c r="LA46" s="60"/>
      <c r="LB46" s="60"/>
      <c r="LC46" s="60"/>
      <c r="LD46" s="60"/>
      <c r="LE46" s="60"/>
      <c r="LF46" s="60"/>
      <c r="LG46" s="60"/>
      <c r="LH46" s="60"/>
      <c r="LI46" s="60"/>
      <c r="LJ46" s="60"/>
      <c r="LK46" s="60"/>
      <c r="LL46" s="60"/>
      <c r="LM46" s="60"/>
      <c r="LN46" s="60"/>
      <c r="LO46" s="60"/>
      <c r="LP46" s="60"/>
      <c r="LQ46" s="60"/>
      <c r="LR46" s="60"/>
      <c r="LS46" s="60"/>
      <c r="LT46" s="60"/>
      <c r="LU46" s="60"/>
      <c r="LV46" s="60"/>
      <c r="LW46" s="60"/>
      <c r="LX46" s="60"/>
      <c r="LY46" s="60"/>
      <c r="LZ46" s="60"/>
      <c r="MA46" s="60"/>
      <c r="MB46" s="60"/>
      <c r="MC46" s="60"/>
      <c r="MD46" s="60"/>
      <c r="ME46" s="60"/>
      <c r="MF46" s="60"/>
      <c r="MG46" s="60"/>
      <c r="MH46" s="60"/>
      <c r="MI46" s="60"/>
      <c r="MJ46" s="60"/>
      <c r="MK46" s="60"/>
      <c r="ML46" s="60"/>
      <c r="MM46" s="60"/>
      <c r="MN46" s="60"/>
      <c r="MO46" s="60"/>
      <c r="MP46" s="60"/>
      <c r="MQ46" s="60"/>
      <c r="MR46" s="60"/>
      <c r="MS46" s="60"/>
      <c r="MT46" s="60"/>
      <c r="MU46" s="60"/>
      <c r="MV46" s="60"/>
      <c r="MW46" s="60"/>
      <c r="MX46" s="60"/>
      <c r="MY46" s="60"/>
      <c r="MZ46" s="60"/>
      <c r="NA46" s="60"/>
      <c r="NB46" s="60"/>
      <c r="NC46" s="60"/>
      <c r="ND46" s="60"/>
      <c r="NE46" s="60"/>
      <c r="NF46" s="60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0"/>
      <c r="NS46" s="60"/>
      <c r="NT46" s="60"/>
      <c r="NU46" s="60"/>
      <c r="NV46" s="60"/>
      <c r="NW46" s="60"/>
    </row>
    <row r="47" spans="1:387" s="59" customFormat="1" ht="33.75" customHeight="1" x14ac:dyDescent="0.25">
      <c r="A47" s="322" t="s">
        <v>134</v>
      </c>
      <c r="B47" s="323"/>
      <c r="C47" s="203">
        <f t="shared" ref="C47:J47" si="26">C34+C37+C38</f>
        <v>100931.84</v>
      </c>
      <c r="D47" s="203">
        <f t="shared" si="26"/>
        <v>100931.84</v>
      </c>
      <c r="E47" s="203">
        <f t="shared" si="26"/>
        <v>100931.84</v>
      </c>
      <c r="F47" s="203">
        <f t="shared" si="26"/>
        <v>100931.84</v>
      </c>
      <c r="G47" s="203">
        <f t="shared" si="26"/>
        <v>100931.84</v>
      </c>
      <c r="H47" s="203">
        <f t="shared" si="26"/>
        <v>100931.84</v>
      </c>
      <c r="I47" s="203">
        <f t="shared" si="26"/>
        <v>100931.84</v>
      </c>
      <c r="J47" s="203">
        <f t="shared" si="26"/>
        <v>220821.29</v>
      </c>
      <c r="K47" s="203">
        <f t="shared" ref="K47:N47" si="27">K34+K37+K38</f>
        <v>110782.06</v>
      </c>
      <c r="L47" s="203">
        <f t="shared" si="27"/>
        <v>120852.9</v>
      </c>
      <c r="M47" s="203">
        <f t="shared" si="27"/>
        <v>130180.95</v>
      </c>
      <c r="N47" s="203">
        <f t="shared" si="27"/>
        <v>130180.95</v>
      </c>
      <c r="O47" s="204">
        <f>SUM(C47:N47)</f>
        <v>1419341.0299999998</v>
      </c>
      <c r="P47" s="198"/>
      <c r="Q47" s="24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8"/>
      <c r="IO47" s="58"/>
      <c r="IP47" s="58"/>
      <c r="IQ47" s="58"/>
      <c r="IR47" s="58"/>
      <c r="IS47" s="58"/>
      <c r="IT47" s="58"/>
      <c r="IU47" s="58"/>
      <c r="IV47" s="58"/>
      <c r="IW47" s="58"/>
      <c r="IX47" s="58"/>
      <c r="IY47" s="58"/>
      <c r="IZ47" s="58"/>
      <c r="JA47" s="58"/>
      <c r="JB47" s="58"/>
      <c r="JC47" s="58"/>
      <c r="JD47" s="58"/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8"/>
      <c r="JW47" s="58"/>
      <c r="JX47" s="58"/>
      <c r="JY47" s="58"/>
      <c r="JZ47" s="58"/>
      <c r="KA47" s="58"/>
      <c r="KB47" s="58"/>
      <c r="KC47" s="58"/>
      <c r="KD47" s="58"/>
      <c r="KE47" s="58"/>
      <c r="KF47" s="58"/>
      <c r="KG47" s="58"/>
      <c r="KH47" s="58"/>
      <c r="KI47" s="58"/>
      <c r="KJ47" s="58"/>
      <c r="KK47" s="58"/>
      <c r="KL47" s="58"/>
      <c r="KM47" s="58"/>
      <c r="KN47" s="58"/>
      <c r="KO47" s="58"/>
      <c r="KP47" s="58"/>
      <c r="KQ47" s="58"/>
      <c r="KR47" s="58"/>
      <c r="KS47" s="58"/>
      <c r="KT47" s="58"/>
      <c r="KU47" s="58"/>
      <c r="KV47" s="58"/>
      <c r="KW47" s="58"/>
      <c r="KX47" s="58"/>
      <c r="KY47" s="58"/>
      <c r="KZ47" s="58"/>
      <c r="LA47" s="58"/>
      <c r="LB47" s="58"/>
      <c r="LC47" s="58"/>
      <c r="LD47" s="58"/>
      <c r="LE47" s="58"/>
      <c r="LF47" s="58"/>
      <c r="LG47" s="58"/>
      <c r="LH47" s="58"/>
      <c r="LI47" s="58"/>
      <c r="LJ47" s="58"/>
      <c r="LK47" s="58"/>
      <c r="LL47" s="58"/>
      <c r="LM47" s="58"/>
      <c r="LN47" s="58"/>
      <c r="LO47" s="58"/>
      <c r="LP47" s="58"/>
      <c r="LQ47" s="58"/>
      <c r="LR47" s="58"/>
      <c r="LS47" s="58"/>
      <c r="LT47" s="58"/>
      <c r="LU47" s="58"/>
      <c r="LV47" s="58"/>
      <c r="LW47" s="58"/>
      <c r="LX47" s="58"/>
      <c r="LY47" s="58"/>
      <c r="LZ47" s="58"/>
      <c r="MA47" s="58"/>
      <c r="MB47" s="58"/>
      <c r="MC47" s="58"/>
      <c r="MD47" s="58"/>
      <c r="ME47" s="58"/>
      <c r="MF47" s="58"/>
      <c r="MG47" s="58"/>
      <c r="MH47" s="58"/>
      <c r="MI47" s="58"/>
      <c r="MJ47" s="58"/>
      <c r="MK47" s="58"/>
      <c r="ML47" s="58"/>
      <c r="MM47" s="58"/>
      <c r="MN47" s="58"/>
      <c r="MO47" s="58"/>
      <c r="MP47" s="58"/>
      <c r="MQ47" s="58"/>
      <c r="MR47" s="58"/>
      <c r="MS47" s="58"/>
      <c r="MT47" s="58"/>
      <c r="MU47" s="58"/>
      <c r="MV47" s="58"/>
      <c r="MW47" s="58"/>
      <c r="MX47" s="58"/>
      <c r="MY47" s="58"/>
      <c r="MZ47" s="58"/>
      <c r="NA47" s="58"/>
      <c r="NB47" s="58"/>
      <c r="NC47" s="58"/>
      <c r="ND47" s="58"/>
      <c r="NE47" s="58"/>
      <c r="NF47" s="58"/>
      <c r="NG47" s="58"/>
      <c r="NH47" s="58"/>
      <c r="NI47" s="58"/>
      <c r="NJ47" s="58"/>
      <c r="NK47" s="58"/>
      <c r="NL47" s="58"/>
      <c r="NM47" s="58"/>
      <c r="NN47" s="58"/>
      <c r="NO47" s="58"/>
      <c r="NP47" s="58"/>
      <c r="NQ47" s="58"/>
      <c r="NR47" s="58"/>
      <c r="NS47" s="58"/>
      <c r="NT47" s="58"/>
      <c r="NU47" s="58"/>
      <c r="NV47" s="58"/>
      <c r="NW47" s="58"/>
    </row>
    <row r="48" spans="1:387" s="61" customFormat="1" ht="10.5" customHeight="1" x14ac:dyDescent="0.3">
      <c r="A48" s="326"/>
      <c r="B48" s="327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05"/>
      <c r="P48" s="202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60"/>
      <c r="IO48" s="60"/>
      <c r="IP48" s="60"/>
      <c r="IQ48" s="60"/>
      <c r="IR48" s="60"/>
      <c r="IS48" s="60"/>
      <c r="IT48" s="60"/>
      <c r="IU48" s="60"/>
      <c r="IV48" s="60"/>
      <c r="IW48" s="60"/>
      <c r="IX48" s="60"/>
      <c r="IY48" s="60"/>
      <c r="IZ48" s="60"/>
      <c r="JA48" s="60"/>
      <c r="JB48" s="60"/>
      <c r="JC48" s="60"/>
      <c r="JD48" s="60"/>
      <c r="JE48" s="60"/>
      <c r="JF48" s="60"/>
      <c r="JG48" s="60"/>
      <c r="JH48" s="60"/>
      <c r="JI48" s="60"/>
      <c r="JJ48" s="60"/>
      <c r="JK48" s="60"/>
      <c r="JL48" s="60"/>
      <c r="JM48" s="60"/>
      <c r="JN48" s="60"/>
      <c r="JO48" s="60"/>
      <c r="JP48" s="60"/>
      <c r="JQ48" s="60"/>
      <c r="JR48" s="60"/>
      <c r="JS48" s="60"/>
      <c r="JT48" s="60"/>
      <c r="JU48" s="60"/>
      <c r="JV48" s="60"/>
      <c r="JW48" s="60"/>
      <c r="JX48" s="60"/>
      <c r="JY48" s="60"/>
      <c r="JZ48" s="60"/>
      <c r="KA48" s="60"/>
      <c r="KB48" s="60"/>
      <c r="KC48" s="60"/>
      <c r="KD48" s="60"/>
      <c r="KE48" s="60"/>
      <c r="KF48" s="60"/>
      <c r="KG48" s="60"/>
      <c r="KH48" s="60"/>
      <c r="KI48" s="60"/>
      <c r="KJ48" s="60"/>
      <c r="KK48" s="60"/>
      <c r="KL48" s="60"/>
      <c r="KM48" s="60"/>
      <c r="KN48" s="60"/>
      <c r="KO48" s="60"/>
      <c r="KP48" s="60"/>
      <c r="KQ48" s="60"/>
      <c r="KR48" s="60"/>
      <c r="KS48" s="60"/>
      <c r="KT48" s="60"/>
      <c r="KU48" s="60"/>
      <c r="KV48" s="60"/>
      <c r="KW48" s="60"/>
      <c r="KX48" s="60"/>
      <c r="KY48" s="60"/>
      <c r="KZ48" s="60"/>
      <c r="LA48" s="60"/>
      <c r="LB48" s="60"/>
      <c r="LC48" s="60"/>
      <c r="LD48" s="60"/>
      <c r="LE48" s="60"/>
      <c r="LF48" s="60"/>
      <c r="LG48" s="60"/>
      <c r="LH48" s="60"/>
      <c r="LI48" s="60"/>
      <c r="LJ48" s="60"/>
      <c r="LK48" s="60"/>
      <c r="LL48" s="60"/>
      <c r="LM48" s="60"/>
      <c r="LN48" s="60"/>
      <c r="LO48" s="60"/>
      <c r="LP48" s="60"/>
      <c r="LQ48" s="60"/>
      <c r="LR48" s="60"/>
      <c r="LS48" s="60"/>
      <c r="LT48" s="60"/>
      <c r="LU48" s="60"/>
      <c r="LV48" s="60"/>
      <c r="LW48" s="60"/>
      <c r="LX48" s="60"/>
      <c r="LY48" s="60"/>
      <c r="LZ48" s="60"/>
      <c r="MA48" s="60"/>
      <c r="MB48" s="60"/>
      <c r="MC48" s="60"/>
      <c r="MD48" s="60"/>
      <c r="ME48" s="60"/>
      <c r="MF48" s="60"/>
      <c r="MG48" s="60"/>
      <c r="MH48" s="60"/>
      <c r="MI48" s="60"/>
      <c r="MJ48" s="60"/>
      <c r="MK48" s="60"/>
      <c r="ML48" s="60"/>
      <c r="MM48" s="60"/>
      <c r="MN48" s="60"/>
      <c r="MO48" s="60"/>
      <c r="MP48" s="60"/>
      <c r="MQ48" s="60"/>
      <c r="MR48" s="60"/>
      <c r="MS48" s="60"/>
      <c r="MT48" s="60"/>
      <c r="MU48" s="60"/>
      <c r="MV48" s="60"/>
      <c r="MW48" s="60"/>
      <c r="MX48" s="60"/>
      <c r="MY48" s="60"/>
      <c r="MZ48" s="60"/>
      <c r="NA48" s="60"/>
      <c r="NB48" s="60"/>
      <c r="NC48" s="60"/>
      <c r="ND48" s="60"/>
      <c r="NE48" s="60"/>
      <c r="NF48" s="60"/>
      <c r="NG48" s="60"/>
      <c r="NH48" s="60"/>
      <c r="NI48" s="60"/>
      <c r="NJ48" s="60"/>
      <c r="NK48" s="60"/>
      <c r="NL48" s="60"/>
      <c r="NM48" s="60"/>
      <c r="NN48" s="60"/>
      <c r="NO48" s="60"/>
      <c r="NP48" s="60"/>
      <c r="NQ48" s="60"/>
      <c r="NR48" s="60"/>
      <c r="NS48" s="60"/>
      <c r="NT48" s="60"/>
      <c r="NU48" s="60"/>
      <c r="NV48" s="60"/>
      <c r="NW48" s="60"/>
    </row>
    <row r="49" spans="1:387" s="73" customFormat="1" ht="39.75" customHeight="1" x14ac:dyDescent="0.25">
      <c r="A49" s="328" t="s">
        <v>135</v>
      </c>
      <c r="B49" s="328"/>
      <c r="C49" s="206">
        <f t="shared" ref="C49:J49" si="28">C17+C18+C19+C21+C33+C39+C40+C26+C20</f>
        <v>686962.52</v>
      </c>
      <c r="D49" s="206">
        <f t="shared" si="28"/>
        <v>658750.20000000007</v>
      </c>
      <c r="E49" s="206">
        <f t="shared" si="28"/>
        <v>638055.01</v>
      </c>
      <c r="F49" s="206">
        <f t="shared" si="28"/>
        <v>2204311.71</v>
      </c>
      <c r="G49" s="206">
        <f t="shared" si="28"/>
        <v>404462.39</v>
      </c>
      <c r="H49" s="206">
        <f t="shared" si="28"/>
        <v>3682813.77</v>
      </c>
      <c r="I49" s="206">
        <f t="shared" si="28"/>
        <v>3070001.93</v>
      </c>
      <c r="J49" s="206">
        <f t="shared" si="28"/>
        <v>52941719.490000002</v>
      </c>
      <c r="K49" s="206">
        <f t="shared" ref="K49:N49" si="29">K17+K18+K19+K21+K33+K39+K40+K26+K20</f>
        <v>816354.45</v>
      </c>
      <c r="L49" s="206">
        <f>L17+L18+L19+L21+L33+L39+L40+L26+L20+L41</f>
        <v>510304.41000000003</v>
      </c>
      <c r="M49" s="206">
        <f t="shared" si="29"/>
        <v>777289.73</v>
      </c>
      <c r="N49" s="206">
        <f t="shared" si="29"/>
        <v>592852.62</v>
      </c>
      <c r="O49" s="207">
        <f>SUM(C49:N49)</f>
        <v>66983878.229999997</v>
      </c>
      <c r="P49" s="208"/>
      <c r="Q49" s="24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</row>
    <row r="50" spans="1:387" s="74" customFormat="1" ht="8.25" customHeight="1" x14ac:dyDescent="0.25">
      <c r="A50" s="299"/>
      <c r="B50" s="300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10"/>
      <c r="P50" s="208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60"/>
      <c r="IO50" s="60"/>
      <c r="IP50" s="60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  <c r="KC50" s="60"/>
      <c r="KD50" s="60"/>
      <c r="KE50" s="60"/>
      <c r="KF50" s="60"/>
      <c r="KG50" s="60"/>
      <c r="KH50" s="60"/>
      <c r="KI50" s="60"/>
      <c r="KJ50" s="60"/>
      <c r="KK50" s="60"/>
      <c r="KL50" s="60"/>
      <c r="KM50" s="60"/>
      <c r="KN50" s="60"/>
      <c r="KO50" s="60"/>
      <c r="KP50" s="60"/>
      <c r="KQ50" s="60"/>
      <c r="KR50" s="60"/>
      <c r="KS50" s="60"/>
      <c r="KT50" s="60"/>
      <c r="KU50" s="60"/>
      <c r="KV50" s="60"/>
      <c r="KW50" s="60"/>
      <c r="KX50" s="60"/>
      <c r="KY50" s="60"/>
      <c r="KZ50" s="60"/>
      <c r="LA50" s="60"/>
      <c r="LB50" s="60"/>
      <c r="LC50" s="60"/>
      <c r="LD50" s="60"/>
      <c r="LE50" s="60"/>
      <c r="LF50" s="60"/>
      <c r="LG50" s="60"/>
      <c r="LH50" s="60"/>
      <c r="LI50" s="60"/>
      <c r="LJ50" s="60"/>
      <c r="LK50" s="60"/>
      <c r="LL50" s="60"/>
      <c r="LM50" s="60"/>
      <c r="LN50" s="60"/>
      <c r="LO50" s="60"/>
      <c r="LP50" s="60"/>
      <c r="LQ50" s="60"/>
      <c r="LR50" s="60"/>
      <c r="LS50" s="60"/>
      <c r="LT50" s="60"/>
      <c r="LU50" s="60"/>
      <c r="LV50" s="60"/>
      <c r="LW50" s="60"/>
      <c r="LX50" s="60"/>
      <c r="LY50" s="60"/>
      <c r="LZ50" s="60"/>
      <c r="MA50" s="60"/>
      <c r="MB50" s="60"/>
      <c r="MC50" s="60"/>
      <c r="MD50" s="60"/>
      <c r="ME50" s="60"/>
      <c r="MF50" s="60"/>
      <c r="MG50" s="60"/>
      <c r="MH50" s="60"/>
      <c r="MI50" s="60"/>
      <c r="MJ50" s="60"/>
      <c r="MK50" s="60"/>
      <c r="ML50" s="60"/>
      <c r="MM50" s="60"/>
      <c r="MN50" s="60"/>
      <c r="MO50" s="60"/>
      <c r="MP50" s="60"/>
      <c r="MQ50" s="60"/>
      <c r="MR50" s="60"/>
      <c r="MS50" s="60"/>
      <c r="MT50" s="60"/>
      <c r="MU50" s="60"/>
      <c r="MV50" s="60"/>
      <c r="MW50" s="60"/>
      <c r="MX50" s="60"/>
      <c r="MY50" s="60"/>
      <c r="MZ50" s="60"/>
      <c r="NA50" s="60"/>
      <c r="NB50" s="60"/>
      <c r="NC50" s="60"/>
      <c r="ND50" s="60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0"/>
      <c r="NS50" s="60"/>
      <c r="NT50" s="60"/>
      <c r="NU50" s="60"/>
      <c r="NV50" s="60"/>
      <c r="NW50" s="60"/>
    </row>
    <row r="51" spans="1:387" s="64" customFormat="1" ht="27.75" customHeight="1" thickBot="1" x14ac:dyDescent="0.3">
      <c r="A51" s="295" t="s">
        <v>31</v>
      </c>
      <c r="B51" s="295"/>
      <c r="C51" s="200">
        <f t="shared" ref="C51:J51" si="30">C52+C59</f>
        <v>14107152.23</v>
      </c>
      <c r="D51" s="200">
        <f t="shared" si="30"/>
        <v>14127920.99</v>
      </c>
      <c r="E51" s="200">
        <f t="shared" si="30"/>
        <v>14270717.539999999</v>
      </c>
      <c r="F51" s="200">
        <f t="shared" si="30"/>
        <v>14369964.120000001</v>
      </c>
      <c r="G51" s="200">
        <f t="shared" si="30"/>
        <v>19615876.119999997</v>
      </c>
      <c r="H51" s="200">
        <f t="shared" si="30"/>
        <v>16133249.23</v>
      </c>
      <c r="I51" s="200">
        <f t="shared" si="30"/>
        <v>15191778.280000001</v>
      </c>
      <c r="J51" s="200">
        <f t="shared" si="30"/>
        <v>21948037.740000002</v>
      </c>
      <c r="K51" s="200">
        <f t="shared" ref="K51:N51" si="31">K52+K59</f>
        <v>15457418.57</v>
      </c>
      <c r="L51" s="200">
        <f t="shared" si="31"/>
        <v>15521533.84</v>
      </c>
      <c r="M51" s="200">
        <f t="shared" si="31"/>
        <v>15520837.469999999</v>
      </c>
      <c r="N51" s="200">
        <f t="shared" si="31"/>
        <v>15273412.199999999</v>
      </c>
      <c r="O51" s="200">
        <f>O52+O59</f>
        <v>191537898.32999998</v>
      </c>
      <c r="P51" s="191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</row>
    <row r="52" spans="1:387" s="38" customFormat="1" ht="19.5" customHeight="1" thickBot="1" x14ac:dyDescent="0.25">
      <c r="A52" s="296" t="s">
        <v>81</v>
      </c>
      <c r="B52" s="296"/>
      <c r="C52" s="211">
        <f>C36+3716688.21</f>
        <v>7006826.3900000006</v>
      </c>
      <c r="D52" s="211">
        <f>D36+3672183.83</f>
        <v>7039672.8100000005</v>
      </c>
      <c r="E52" s="211">
        <f>E36+3593420.64+171.16</f>
        <v>7013491.7000000002</v>
      </c>
      <c r="F52" s="211">
        <f>F36+3501620.64</f>
        <v>7012633.6400000006</v>
      </c>
      <c r="G52" s="211">
        <f>(G36-52758.28)+3615859.98</f>
        <v>7026601.0899999999</v>
      </c>
      <c r="H52" s="211">
        <f>(H36-1628648.46)+3590800.83</f>
        <v>7010541.8600000003</v>
      </c>
      <c r="I52" s="211">
        <f>I36+3000000</f>
        <v>7033277.9000000004</v>
      </c>
      <c r="J52" s="211">
        <f>(J36-1557361.6)+9034634.39</f>
        <v>12711592.710000001</v>
      </c>
      <c r="K52" s="211">
        <f>K36+3026542.5</f>
        <v>6809717.3799999999</v>
      </c>
      <c r="L52" s="211">
        <f>(L36-52000)+3674168.15</f>
        <v>7423695.96</v>
      </c>
      <c r="M52" s="211">
        <f>(M36-841319.26)+4587694.8</f>
        <v>7510746.1299999999</v>
      </c>
      <c r="N52" s="211">
        <f>(N36+7700.15)+3457721.42</f>
        <v>7139020.1299999999</v>
      </c>
      <c r="O52" s="212">
        <f>SUM(C52:N52)</f>
        <v>90737817.699999988</v>
      </c>
      <c r="P52" s="21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</row>
    <row r="53" spans="1:387" s="10" customFormat="1" ht="10.5" hidden="1" customHeight="1" thickBot="1" x14ac:dyDescent="0.25">
      <c r="A53" s="114"/>
      <c r="B53" s="115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5"/>
      <c r="P53" s="216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</row>
    <row r="54" spans="1:387" s="39" customFormat="1" ht="19.5" hidden="1" customHeight="1" thickBot="1" x14ac:dyDescent="0.25">
      <c r="A54" s="116"/>
      <c r="B54" s="117" t="s">
        <v>7</v>
      </c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5"/>
      <c r="P54" s="216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</row>
    <row r="55" spans="1:387" s="10" customFormat="1" ht="17.25" hidden="1" customHeight="1" thickBot="1" x14ac:dyDescent="0.25">
      <c r="A55" s="114"/>
      <c r="B55" s="115" t="s">
        <v>5</v>
      </c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5"/>
      <c r="P55" s="216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</row>
    <row r="56" spans="1:387" s="10" customFormat="1" ht="17.25" hidden="1" customHeight="1" thickBot="1" x14ac:dyDescent="0.25">
      <c r="A56" s="114"/>
      <c r="B56" s="115" t="s">
        <v>6</v>
      </c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5"/>
      <c r="P56" s="21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</row>
    <row r="57" spans="1:387" s="10" customFormat="1" ht="9.75" hidden="1" customHeight="1" thickBot="1" x14ac:dyDescent="0.25">
      <c r="A57" s="118"/>
      <c r="B57" s="119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9"/>
      <c r="P57" s="216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</row>
    <row r="58" spans="1:387" s="10" customFormat="1" ht="12" customHeight="1" thickBot="1" x14ac:dyDescent="0.25">
      <c r="A58" s="297"/>
      <c r="B58" s="298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1"/>
      <c r="P58" s="216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</row>
    <row r="59" spans="1:387" s="38" customFormat="1" ht="21" customHeight="1" x14ac:dyDescent="0.2">
      <c r="A59" s="320" t="s">
        <v>82</v>
      </c>
      <c r="B59" s="320"/>
      <c r="C59" s="222">
        <v>7100325.8399999999</v>
      </c>
      <c r="D59" s="222">
        <v>7088248.1799999997</v>
      </c>
      <c r="E59" s="222">
        <f>7255295.76+1930.08</f>
        <v>7257225.8399999999</v>
      </c>
      <c r="F59" s="222">
        <f>7346871.31+10459.17</f>
        <v>7357330.4799999995</v>
      </c>
      <c r="G59" s="222">
        <f>12536516.75+52758.28</f>
        <v>12589275.029999999</v>
      </c>
      <c r="H59" s="222">
        <f>7494058.91+1628648.46</f>
        <v>9122707.370000001</v>
      </c>
      <c r="I59" s="222">
        <f>8158500.38</f>
        <v>8158500.3799999999</v>
      </c>
      <c r="J59" s="222">
        <f>7679083.43+1557361.6</f>
        <v>9236445.0299999993</v>
      </c>
      <c r="K59" s="222">
        <f>8647701.19</f>
        <v>8647701.1899999995</v>
      </c>
      <c r="L59" s="222">
        <f>8045837.88+52000</f>
        <v>8097837.8799999999</v>
      </c>
      <c r="M59" s="222">
        <f>7168772.08+841319.26</f>
        <v>8010091.3399999999</v>
      </c>
      <c r="N59" s="222">
        <f>8142092.22-7700.15</f>
        <v>8134392.0699999994</v>
      </c>
      <c r="O59" s="223">
        <f>SUM(C59:N59)</f>
        <v>100800080.62999998</v>
      </c>
      <c r="P59" s="213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</row>
    <row r="60" spans="1:387" s="9" customFormat="1" ht="14.25" customHeight="1" thickBot="1" x14ac:dyDescent="0.45">
      <c r="A60" s="314"/>
      <c r="B60" s="315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5"/>
      <c r="P60" s="226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</row>
    <row r="61" spans="1:387" s="12" customFormat="1" ht="33.75" customHeight="1" thickTop="1" thickBot="1" x14ac:dyDescent="0.5">
      <c r="A61" s="316" t="s">
        <v>77</v>
      </c>
      <c r="B61" s="316"/>
      <c r="C61" s="227">
        <f t="shared" ref="C61:J61" si="32">C12-C44</f>
        <v>57138651.949999988</v>
      </c>
      <c r="D61" s="227">
        <f t="shared" si="32"/>
        <v>99170608.23999998</v>
      </c>
      <c r="E61" s="227">
        <f t="shared" si="32"/>
        <v>78016809.390000001</v>
      </c>
      <c r="F61" s="227">
        <f t="shared" si="32"/>
        <v>78609029.459999993</v>
      </c>
      <c r="G61" s="227">
        <f t="shared" si="32"/>
        <v>77346524.979999989</v>
      </c>
      <c r="H61" s="227">
        <f t="shared" si="32"/>
        <v>78737937.800000012</v>
      </c>
      <c r="I61" s="227">
        <f t="shared" si="32"/>
        <v>131428581.64000003</v>
      </c>
      <c r="J61" s="227">
        <f t="shared" si="32"/>
        <v>112930258.69999996</v>
      </c>
      <c r="K61" s="227">
        <f t="shared" ref="K61:P61" si="33">K12-K44</f>
        <v>61305471.13000001</v>
      </c>
      <c r="L61" s="227">
        <f>L12-L44</f>
        <v>106332668.19000001</v>
      </c>
      <c r="M61" s="227">
        <f t="shared" si="33"/>
        <v>62507381.899999999</v>
      </c>
      <c r="N61" s="227">
        <f t="shared" si="33"/>
        <v>87755834.579999998</v>
      </c>
      <c r="O61" s="228">
        <f t="shared" si="33"/>
        <v>1031279757.9599998</v>
      </c>
      <c r="P61" s="229">
        <f t="shared" si="33"/>
        <v>0</v>
      </c>
      <c r="Q61" s="239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</row>
    <row r="62" spans="1:387" s="25" customFormat="1" ht="24" thickTop="1" thickBot="1" x14ac:dyDescent="0.5">
      <c r="A62" s="317" t="s">
        <v>108</v>
      </c>
      <c r="B62" s="317"/>
      <c r="C62" s="230">
        <v>2319840957.46</v>
      </c>
      <c r="D62" s="230">
        <v>2130391592.79</v>
      </c>
      <c r="E62" s="230">
        <v>2077626508.9300001</v>
      </c>
      <c r="F62" s="230">
        <v>2312775122.9699998</v>
      </c>
      <c r="G62" s="230">
        <v>2364384477.5999999</v>
      </c>
      <c r="H62" s="230">
        <v>2371285015.3200002</v>
      </c>
      <c r="I62" s="230">
        <v>2419472478.8099999</v>
      </c>
      <c r="J62" s="230">
        <v>2797371350.4400001</v>
      </c>
      <c r="K62" s="230">
        <v>3168624937.52</v>
      </c>
      <c r="L62" s="230">
        <v>2685524210.5900002</v>
      </c>
      <c r="M62" s="230">
        <v>2556626085.98</v>
      </c>
      <c r="N62" s="230">
        <v>2659779321.1100001</v>
      </c>
      <c r="O62" s="231">
        <f>SUM(C62:N62)</f>
        <v>29863702059.52</v>
      </c>
      <c r="P62" s="23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</row>
    <row r="63" spans="1:387" s="25" customFormat="1" ht="53.25" customHeight="1" thickTop="1" thickBot="1" x14ac:dyDescent="0.5">
      <c r="A63" s="318" t="s">
        <v>109</v>
      </c>
      <c r="B63" s="319"/>
      <c r="C63" s="230"/>
      <c r="D63" s="230"/>
      <c r="E63" s="230"/>
      <c r="F63" s="230">
        <v>1960680</v>
      </c>
      <c r="G63" s="230"/>
      <c r="H63" s="230">
        <v>10379986</v>
      </c>
      <c r="I63" s="230"/>
      <c r="J63" s="230">
        <v>550000</v>
      </c>
      <c r="K63" s="230"/>
      <c r="L63" s="230">
        <v>100000</v>
      </c>
      <c r="M63" s="230"/>
      <c r="N63" s="230"/>
      <c r="O63" s="231">
        <f t="shared" ref="O63:O65" si="34">SUM(C63:N63)</f>
        <v>12990666</v>
      </c>
      <c r="P63" s="232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</row>
    <row r="64" spans="1:387" s="25" customFormat="1" ht="53.25" customHeight="1" thickTop="1" thickBot="1" x14ac:dyDescent="0.5">
      <c r="A64" s="318" t="s">
        <v>105</v>
      </c>
      <c r="B64" s="319"/>
      <c r="C64" s="230"/>
      <c r="D64" s="230"/>
      <c r="E64" s="230"/>
      <c r="F64" s="230">
        <v>14213000</v>
      </c>
      <c r="G64" s="230"/>
      <c r="H64" s="230"/>
      <c r="I64" s="230"/>
      <c r="J64" s="230">
        <v>58201523</v>
      </c>
      <c r="K64" s="230"/>
      <c r="L64" s="230"/>
      <c r="M64" s="230"/>
      <c r="N64" s="230"/>
      <c r="O64" s="231">
        <f t="shared" si="34"/>
        <v>72414523</v>
      </c>
      <c r="P64" s="232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</row>
    <row r="65" spans="1:387" s="25" customFormat="1" ht="53.25" customHeight="1" thickTop="1" thickBot="1" x14ac:dyDescent="0.5">
      <c r="A65" s="312" t="s">
        <v>106</v>
      </c>
      <c r="B65" s="312"/>
      <c r="C65" s="230">
        <f t="shared" ref="C65:J65" si="35">C62-C63-C64</f>
        <v>2319840957.46</v>
      </c>
      <c r="D65" s="230">
        <f t="shared" si="35"/>
        <v>2130391592.79</v>
      </c>
      <c r="E65" s="230">
        <f t="shared" si="35"/>
        <v>2077626508.9300001</v>
      </c>
      <c r="F65" s="230">
        <f t="shared" si="35"/>
        <v>2296601442.9699998</v>
      </c>
      <c r="G65" s="230">
        <f t="shared" si="35"/>
        <v>2364384477.5999999</v>
      </c>
      <c r="H65" s="230">
        <f t="shared" si="35"/>
        <v>2360905029.3200002</v>
      </c>
      <c r="I65" s="230">
        <f t="shared" si="35"/>
        <v>2419472478.8099999</v>
      </c>
      <c r="J65" s="230">
        <f t="shared" si="35"/>
        <v>2738619827.4400001</v>
      </c>
      <c r="K65" s="230">
        <f t="shared" ref="K65:N65" si="36">K62-K63-K64</f>
        <v>3168624937.52</v>
      </c>
      <c r="L65" s="230">
        <f t="shared" si="36"/>
        <v>2685424210.5900002</v>
      </c>
      <c r="M65" s="230">
        <f t="shared" si="36"/>
        <v>2556626085.98</v>
      </c>
      <c r="N65" s="230">
        <f t="shared" si="36"/>
        <v>2659779321.1100001</v>
      </c>
      <c r="O65" s="231">
        <f t="shared" si="34"/>
        <v>29778296870.52</v>
      </c>
      <c r="P65" s="232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</row>
    <row r="66" spans="1:387" s="25" customFormat="1" ht="51.75" customHeight="1" thickTop="1" thickBot="1" x14ac:dyDescent="0.5">
      <c r="A66" s="312" t="s">
        <v>107</v>
      </c>
      <c r="B66" s="312"/>
      <c r="C66" s="230">
        <f t="shared" ref="C66:J66" si="37">C61</f>
        <v>57138651.949999988</v>
      </c>
      <c r="D66" s="230">
        <f t="shared" si="37"/>
        <v>99170608.23999998</v>
      </c>
      <c r="E66" s="230">
        <f t="shared" si="37"/>
        <v>78016809.390000001</v>
      </c>
      <c r="F66" s="230">
        <f t="shared" si="37"/>
        <v>78609029.459999993</v>
      </c>
      <c r="G66" s="230">
        <f t="shared" si="37"/>
        <v>77346524.979999989</v>
      </c>
      <c r="H66" s="230">
        <f t="shared" si="37"/>
        <v>78737937.800000012</v>
      </c>
      <c r="I66" s="230">
        <f t="shared" si="37"/>
        <v>131428581.64000003</v>
      </c>
      <c r="J66" s="230">
        <f t="shared" si="37"/>
        <v>112930258.69999996</v>
      </c>
      <c r="K66" s="230">
        <f t="shared" ref="K66:N66" si="38">K61</f>
        <v>61305471.13000001</v>
      </c>
      <c r="L66" s="230">
        <f t="shared" si="38"/>
        <v>106332668.19000001</v>
      </c>
      <c r="M66" s="230">
        <f t="shared" si="38"/>
        <v>62507381.899999999</v>
      </c>
      <c r="N66" s="230">
        <f t="shared" si="38"/>
        <v>87755834.579999998</v>
      </c>
      <c r="O66" s="231">
        <f>SUM(C66:N66)</f>
        <v>1031279757.96</v>
      </c>
      <c r="P66" s="232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</row>
    <row r="67" spans="1:387" s="4" customFormat="1" ht="19.5" thickTop="1" thickBot="1" x14ac:dyDescent="0.3">
      <c r="A67" s="313" t="s">
        <v>1</v>
      </c>
      <c r="B67" s="313"/>
      <c r="C67" s="243">
        <f t="shared" ref="C67:J67" si="39">C61*100/C65</f>
        <v>2.4630417773363762</v>
      </c>
      <c r="D67" s="243">
        <f t="shared" si="39"/>
        <v>4.6550412879786265</v>
      </c>
      <c r="E67" s="243">
        <f t="shared" si="39"/>
        <v>3.7550930860128222</v>
      </c>
      <c r="F67" s="243">
        <f t="shared" si="39"/>
        <v>3.4228415949413322</v>
      </c>
      <c r="G67" s="243">
        <f t="shared" si="39"/>
        <v>3.2713175760023434</v>
      </c>
      <c r="H67" s="243">
        <f t="shared" si="39"/>
        <v>3.335074338957146</v>
      </c>
      <c r="I67" s="243">
        <f t="shared" si="39"/>
        <v>5.432117240062273</v>
      </c>
      <c r="J67" s="243">
        <f t="shared" si="39"/>
        <v>4.123619407428472</v>
      </c>
      <c r="K67" s="243">
        <f t="shared" ref="K67:N67" si="40">K61*100/K65</f>
        <v>1.934765784491433</v>
      </c>
      <c r="L67" s="243">
        <f t="shared" si="40"/>
        <v>3.9596227579492269</v>
      </c>
      <c r="M67" s="243">
        <f t="shared" si="40"/>
        <v>2.444916847355088</v>
      </c>
      <c r="N67" s="243">
        <f t="shared" si="40"/>
        <v>3.2993652474663588</v>
      </c>
      <c r="O67" s="233">
        <f>O61*100/O65</f>
        <v>3.4631925473916172</v>
      </c>
      <c r="P67" s="234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</row>
    <row r="68" spans="1:387" s="18" customFormat="1" ht="6.75" customHeight="1" x14ac:dyDescent="0.2">
      <c r="B68" s="2"/>
      <c r="C68" s="235"/>
      <c r="D68" s="235"/>
      <c r="E68" s="235"/>
      <c r="F68" s="235"/>
      <c r="G68" s="235"/>
      <c r="H68" s="236"/>
      <c r="I68" s="236"/>
      <c r="J68" s="237"/>
      <c r="K68" s="237"/>
      <c r="L68" s="237"/>
      <c r="M68" s="237"/>
      <c r="N68" s="237"/>
      <c r="O68" s="238"/>
      <c r="P68" s="23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</row>
    <row r="69" spans="1:387" s="19" customFormat="1" x14ac:dyDescent="0.2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20"/>
      <c r="P69" s="20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</row>
    <row r="70" spans="1:387" x14ac:dyDescent="0.2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387" x14ac:dyDescent="0.2">
      <c r="O71"/>
    </row>
    <row r="72" spans="1:387" x14ac:dyDescent="0.2">
      <c r="O72"/>
    </row>
    <row r="73" spans="1:387" x14ac:dyDescent="0.2">
      <c r="O73"/>
    </row>
    <row r="74" spans="1:387" x14ac:dyDescent="0.2">
      <c r="O74"/>
    </row>
    <row r="75" spans="1:387" x14ac:dyDescent="0.2">
      <c r="O75"/>
    </row>
    <row r="76" spans="1:387" ht="49.5" customHeight="1" x14ac:dyDescent="0.2">
      <c r="O76"/>
    </row>
    <row r="77" spans="1:387" ht="69" customHeight="1" x14ac:dyDescent="0.2">
      <c r="O77"/>
    </row>
    <row r="78" spans="1:387" x14ac:dyDescent="0.2">
      <c r="O78"/>
    </row>
    <row r="79" spans="1:387" ht="111" customHeight="1" x14ac:dyDescent="0.2">
      <c r="O79"/>
    </row>
    <row r="80" spans="1:387" x14ac:dyDescent="0.2">
      <c r="O80"/>
    </row>
    <row r="81" spans="15:15" ht="87.75" customHeight="1" x14ac:dyDescent="0.2">
      <c r="O81"/>
    </row>
    <row r="82" spans="15:15" x14ac:dyDescent="0.2">
      <c r="O82"/>
    </row>
    <row r="83" spans="15:15" ht="55.5" customHeight="1" x14ac:dyDescent="0.2">
      <c r="O83"/>
    </row>
    <row r="84" spans="15:15" x14ac:dyDescent="0.2">
      <c r="O84"/>
    </row>
    <row r="85" spans="15:15" x14ac:dyDescent="0.2">
      <c r="O85"/>
    </row>
    <row r="86" spans="15:15" x14ac:dyDescent="0.2">
      <c r="O86"/>
    </row>
    <row r="87" spans="15:15" x14ac:dyDescent="0.2">
      <c r="O87"/>
    </row>
    <row r="88" spans="15:15" x14ac:dyDescent="0.2">
      <c r="O88"/>
    </row>
    <row r="89" spans="15:15" x14ac:dyDescent="0.2">
      <c r="O89"/>
    </row>
    <row r="90" spans="15:15" x14ac:dyDescent="0.2">
      <c r="O90"/>
    </row>
    <row r="91" spans="15:15" x14ac:dyDescent="0.2">
      <c r="O91"/>
    </row>
    <row r="92" spans="15:15" x14ac:dyDescent="0.2">
      <c r="O92"/>
    </row>
    <row r="93" spans="15:15" x14ac:dyDescent="0.2">
      <c r="O93"/>
    </row>
    <row r="94" spans="15:15" x14ac:dyDescent="0.2">
      <c r="O94"/>
    </row>
    <row r="95" spans="15:15" x14ac:dyDescent="0.2">
      <c r="O95"/>
    </row>
    <row r="96" spans="15:15" x14ac:dyDescent="0.2">
      <c r="O96"/>
    </row>
    <row r="97" spans="15:15" x14ac:dyDescent="0.2">
      <c r="O97"/>
    </row>
    <row r="98" spans="15:15" x14ac:dyDescent="0.2">
      <c r="O98"/>
    </row>
    <row r="99" spans="15:15" x14ac:dyDescent="0.2">
      <c r="O99"/>
    </row>
    <row r="100" spans="15:15" x14ac:dyDescent="0.2">
      <c r="O100"/>
    </row>
    <row r="101" spans="15:15" x14ac:dyDescent="0.2">
      <c r="O101"/>
    </row>
    <row r="102" spans="15:15" x14ac:dyDescent="0.2">
      <c r="O102"/>
    </row>
    <row r="103" spans="15:15" x14ac:dyDescent="0.2">
      <c r="O103"/>
    </row>
    <row r="104" spans="15:15" x14ac:dyDescent="0.2">
      <c r="O104"/>
    </row>
    <row r="105" spans="15:15" x14ac:dyDescent="0.2">
      <c r="O105"/>
    </row>
    <row r="106" spans="15:15" x14ac:dyDescent="0.2">
      <c r="O106"/>
    </row>
    <row r="107" spans="15:15" x14ac:dyDescent="0.2">
      <c r="O107"/>
    </row>
    <row r="108" spans="15:15" x14ac:dyDescent="0.2">
      <c r="O108"/>
    </row>
    <row r="109" spans="15:15" x14ac:dyDescent="0.2">
      <c r="O109"/>
    </row>
    <row r="110" spans="15:15" x14ac:dyDescent="0.2">
      <c r="O110"/>
    </row>
    <row r="111" spans="15:15" x14ac:dyDescent="0.2">
      <c r="O111"/>
    </row>
    <row r="112" spans="15:15" x14ac:dyDescent="0.2">
      <c r="O112"/>
    </row>
    <row r="113" spans="15:15" x14ac:dyDescent="0.2">
      <c r="O113"/>
    </row>
    <row r="114" spans="15:15" x14ac:dyDescent="0.2">
      <c r="O114"/>
    </row>
    <row r="115" spans="15:15" x14ac:dyDescent="0.2">
      <c r="O115"/>
    </row>
    <row r="116" spans="15:15" x14ac:dyDescent="0.2">
      <c r="O116"/>
    </row>
    <row r="117" spans="15:15" x14ac:dyDescent="0.2">
      <c r="O117"/>
    </row>
    <row r="118" spans="15:15" x14ac:dyDescent="0.2">
      <c r="O118"/>
    </row>
    <row r="119" spans="15:15" x14ac:dyDescent="0.2">
      <c r="O119"/>
    </row>
    <row r="120" spans="15:15" x14ac:dyDescent="0.2">
      <c r="O120"/>
    </row>
    <row r="121" spans="15:15" x14ac:dyDescent="0.2">
      <c r="O121"/>
    </row>
    <row r="122" spans="15:15" x14ac:dyDescent="0.2">
      <c r="O122"/>
    </row>
    <row r="123" spans="15:15" x14ac:dyDescent="0.2">
      <c r="O123"/>
    </row>
    <row r="124" spans="15:15" x14ac:dyDescent="0.2">
      <c r="O124"/>
    </row>
    <row r="125" spans="15:15" x14ac:dyDescent="0.2">
      <c r="O125"/>
    </row>
    <row r="126" spans="15:15" x14ac:dyDescent="0.2">
      <c r="O126"/>
    </row>
    <row r="127" spans="15:15" x14ac:dyDescent="0.2">
      <c r="O127"/>
    </row>
    <row r="128" spans="15:15" x14ac:dyDescent="0.2">
      <c r="O128"/>
    </row>
    <row r="129" spans="15:15" x14ac:dyDescent="0.2">
      <c r="O129"/>
    </row>
    <row r="130" spans="15:15" x14ac:dyDescent="0.2">
      <c r="O130"/>
    </row>
    <row r="131" spans="15:15" x14ac:dyDescent="0.2">
      <c r="O131"/>
    </row>
    <row r="132" spans="15:15" x14ac:dyDescent="0.2">
      <c r="O132"/>
    </row>
    <row r="133" spans="15:15" x14ac:dyDescent="0.2">
      <c r="O133"/>
    </row>
    <row r="134" spans="15:15" x14ac:dyDescent="0.2">
      <c r="O134"/>
    </row>
    <row r="135" spans="15:15" x14ac:dyDescent="0.2">
      <c r="O135"/>
    </row>
    <row r="136" spans="15:15" x14ac:dyDescent="0.2">
      <c r="O136"/>
    </row>
    <row r="137" spans="15:15" x14ac:dyDescent="0.2">
      <c r="O137"/>
    </row>
    <row r="138" spans="15:15" x14ac:dyDescent="0.2">
      <c r="O138"/>
    </row>
    <row r="139" spans="15:15" x14ac:dyDescent="0.2">
      <c r="O139"/>
    </row>
    <row r="140" spans="15:15" x14ac:dyDescent="0.2">
      <c r="O140"/>
    </row>
    <row r="141" spans="15:15" x14ac:dyDescent="0.2">
      <c r="O141"/>
    </row>
    <row r="940" spans="6:6" x14ac:dyDescent="0.2">
      <c r="F940" t="s">
        <v>8</v>
      </c>
    </row>
  </sheetData>
  <mergeCells count="39">
    <mergeCell ref="A43:B43"/>
    <mergeCell ref="A66:B66"/>
    <mergeCell ref="A67:B67"/>
    <mergeCell ref="A60:B60"/>
    <mergeCell ref="A61:B61"/>
    <mergeCell ref="A62:B62"/>
    <mergeCell ref="A63:B63"/>
    <mergeCell ref="A65:B65"/>
    <mergeCell ref="A64:B64"/>
    <mergeCell ref="A59:B59"/>
    <mergeCell ref="A44:B44"/>
    <mergeCell ref="A45:B45"/>
    <mergeCell ref="A46:B46"/>
    <mergeCell ref="A47:B47"/>
    <mergeCell ref="A48:B48"/>
    <mergeCell ref="A49:B49"/>
    <mergeCell ref="A51:B51"/>
    <mergeCell ref="A52:B52"/>
    <mergeCell ref="A58:B58"/>
    <mergeCell ref="A50:B50"/>
    <mergeCell ref="A1:P1"/>
    <mergeCell ref="A2:P2"/>
    <mergeCell ref="A3:P3"/>
    <mergeCell ref="A4:P4"/>
    <mergeCell ref="A5:P5"/>
    <mergeCell ref="A30:B30"/>
    <mergeCell ref="A31:B31"/>
    <mergeCell ref="A35:B35"/>
    <mergeCell ref="A41:B41"/>
    <mergeCell ref="A7:C7"/>
    <mergeCell ref="A12:B12"/>
    <mergeCell ref="A13:B13"/>
    <mergeCell ref="A14:B14"/>
    <mergeCell ref="A24:B24"/>
    <mergeCell ref="A8:B11"/>
    <mergeCell ref="C8:P8"/>
    <mergeCell ref="C9:P9"/>
    <mergeCell ref="C10:O10"/>
    <mergeCell ref="P10:P11"/>
  </mergeCells>
  <printOptions horizontalCentered="1"/>
  <pageMargins left="0" right="0" top="0" bottom="0" header="0.51181102362204722" footer="0.51181102362204722"/>
  <pageSetup paperSize="9" scale="50" firstPageNumber="0" orientation="landscape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10" ma:contentTypeDescription="Crie um novo documento." ma:contentTypeScope="" ma:versionID="f0e4aca4228c40f59d9e0c012ca58f91">
  <xsd:schema xmlns:xsd="http://www.w3.org/2001/XMLSchema" xmlns:xs="http://www.w3.org/2001/XMLSchema" xmlns:p="http://schemas.microsoft.com/office/2006/metadata/properties" xmlns:ns2="bf0a519a-f0d7-4b7f-ba2f-cdea6954352d" xmlns:ns3="14d0cd2f-a2a5-4059-ac4a-472256ce7657" targetNamespace="http://schemas.microsoft.com/office/2006/metadata/properties" ma:root="true" ma:fieldsID="553efb05f44308897b9744a9effa45f3" ns2:_="" ns3:_="">
    <xsd:import namespace="bf0a519a-f0d7-4b7f-ba2f-cdea6954352d"/>
    <xsd:import namespace="14d0cd2f-a2a5-4059-ac4a-472256ce7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0cd2f-a2a5-4059-ac4a-472256ce7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00454-CA38-49DB-83FE-EC8E813BA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464BFC-B5D2-4665-9E06-9EA56EB55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a519a-f0d7-4b7f-ba2f-cdea6954352d"/>
    <ds:schemaRef ds:uri="14d0cd2f-a2a5-4059-ac4a-472256ce7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E4F0B2-729F-47B1-8853-897E910F21C4}">
  <ds:schemaRefs>
    <ds:schemaRef ds:uri="http://schemas.microsoft.com/office/2006/documentManagement/types"/>
    <ds:schemaRef ds:uri="bf0a519a-f0d7-4b7f-ba2f-cdea6954352d"/>
    <ds:schemaRef ds:uri="http://purl.org/dc/elements/1.1/"/>
    <ds:schemaRef ds:uri="http://schemas.microsoft.com/office/infopath/2007/PartnerControls"/>
    <ds:schemaRef ds:uri="14d0cd2f-a2a5-4059-ac4a-472256ce7657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1º QUA 2022 - TJ</vt:lpstr>
      <vt:lpstr>1º QUA 2022 - BASE ABERT TJ</vt:lpstr>
      <vt:lpstr>'1º QUA 2022 - BASE ABERT TJ'!Area_de_impressao</vt:lpstr>
      <vt:lpstr>'1º QUA 2022 - TJ'!Area_de_impressao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Martins Dacier Lobato</dc:creator>
  <cp:lastModifiedBy>Lorena Maria Ribeiro Maués</cp:lastModifiedBy>
  <cp:lastPrinted>2022-05-18T17:49:52Z</cp:lastPrinted>
  <dcterms:created xsi:type="dcterms:W3CDTF">2010-05-27T13:18:13Z</dcterms:created>
  <dcterms:modified xsi:type="dcterms:W3CDTF">2022-05-25T12:28:17Z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