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SIGA DOC\ANEXO II\"/>
    </mc:Choice>
  </mc:AlternateContent>
  <xr:revisionPtr revIDLastSave="0" documentId="13_ncr:1_{2DFC13B3-EA9B-477B-9967-6E7ED445EE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rço 2021" sheetId="3" r:id="rId1"/>
  </sheets>
  <definedNames>
    <definedName name="_xlnm.Print_Area" localSheetId="0">'Março 2021'!$A$1:$X$353</definedName>
    <definedName name="_xlnm.Print_Titles" localSheetId="0">'Março 2021'!$1:$11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2" i="3" l="1"/>
  <c r="W287" i="3"/>
  <c r="U287" i="3"/>
  <c r="S287" i="3"/>
  <c r="W283" i="3"/>
  <c r="U283" i="3"/>
  <c r="S283" i="3"/>
  <c r="W280" i="3"/>
  <c r="U280" i="3"/>
  <c r="S280" i="3"/>
  <c r="W276" i="3"/>
  <c r="U276" i="3"/>
  <c r="S276" i="3"/>
  <c r="W273" i="3"/>
  <c r="U273" i="3"/>
  <c r="S273" i="3"/>
  <c r="W270" i="3"/>
  <c r="W269" i="3"/>
  <c r="U269" i="3"/>
  <c r="S269" i="3"/>
  <c r="W265" i="3"/>
  <c r="U265" i="3"/>
  <c r="W260" i="3"/>
  <c r="U260" i="3"/>
  <c r="S260" i="3"/>
  <c r="W248" i="3"/>
  <c r="U248" i="3"/>
  <c r="S248" i="3"/>
  <c r="W241" i="3"/>
  <c r="U241" i="3"/>
  <c r="S241" i="3"/>
  <c r="W235" i="3"/>
  <c r="U235" i="3"/>
  <c r="S234" i="3"/>
  <c r="W231" i="3"/>
  <c r="U231" i="3"/>
  <c r="S231" i="3"/>
  <c r="W225" i="3"/>
  <c r="U225" i="3"/>
  <c r="S225" i="3"/>
  <c r="W217" i="3"/>
  <c r="U217" i="3"/>
  <c r="S217" i="3"/>
  <c r="W214" i="3"/>
  <c r="U214" i="3"/>
  <c r="S214" i="3"/>
  <c r="W213" i="3"/>
  <c r="U213" i="3"/>
  <c r="S213" i="3"/>
  <c r="Q213" i="3"/>
  <c r="W210" i="3"/>
  <c r="U210" i="3"/>
  <c r="S210" i="3"/>
  <c r="W209" i="3"/>
  <c r="U209" i="3"/>
  <c r="S209" i="3"/>
  <c r="W206" i="3"/>
  <c r="U206" i="3"/>
  <c r="S206" i="3"/>
  <c r="W203" i="3"/>
  <c r="U203" i="3"/>
  <c r="S203" i="3"/>
  <c r="W200" i="3"/>
  <c r="U200" i="3"/>
  <c r="S200" i="3"/>
  <c r="W197" i="3"/>
  <c r="U197" i="3"/>
  <c r="S197" i="3"/>
  <c r="W196" i="3"/>
  <c r="U196" i="3"/>
  <c r="S196" i="3"/>
  <c r="W186" i="3"/>
  <c r="U186" i="3"/>
  <c r="S186" i="3"/>
  <c r="W185" i="3"/>
  <c r="U185" i="3"/>
  <c r="S185" i="3"/>
  <c r="W182" i="3"/>
  <c r="U182" i="3"/>
  <c r="S182" i="3"/>
  <c r="W175" i="3"/>
  <c r="U175" i="3"/>
  <c r="S175" i="3"/>
  <c r="S172" i="3"/>
  <c r="U171" i="3"/>
  <c r="S171" i="3"/>
  <c r="W168" i="3"/>
  <c r="U168" i="3"/>
  <c r="S168" i="3"/>
  <c r="S166" i="3"/>
  <c r="U165" i="3"/>
  <c r="S165" i="3"/>
  <c r="W162" i="3"/>
  <c r="U162" i="3"/>
  <c r="S162" i="3"/>
  <c r="S160" i="3"/>
  <c r="W159" i="3"/>
  <c r="U159" i="3"/>
  <c r="S159" i="3"/>
  <c r="W156" i="3"/>
  <c r="U156" i="3"/>
  <c r="S156" i="3"/>
  <c r="S152" i="3"/>
  <c r="W148" i="3"/>
  <c r="U148" i="3"/>
  <c r="S148" i="3"/>
  <c r="W147" i="3"/>
  <c r="U147" i="3"/>
  <c r="W146" i="3"/>
  <c r="U146" i="3"/>
  <c r="S146" i="3"/>
  <c r="W141" i="3"/>
  <c r="U141" i="3"/>
  <c r="S141" i="3"/>
  <c r="W137" i="3"/>
  <c r="U137" i="3"/>
  <c r="S137" i="3"/>
  <c r="W136" i="3"/>
  <c r="U136" i="3"/>
  <c r="S136" i="3"/>
  <c r="W132" i="3"/>
  <c r="U132" i="3"/>
  <c r="S132" i="3"/>
  <c r="W130" i="3"/>
  <c r="U130" i="3"/>
  <c r="S130" i="3"/>
  <c r="W122" i="3"/>
  <c r="U122" i="3"/>
  <c r="S122" i="3"/>
  <c r="W100" i="3"/>
  <c r="U100" i="3"/>
  <c r="W94" i="3"/>
  <c r="U94" i="3"/>
  <c r="S94" i="3"/>
  <c r="W91" i="3"/>
  <c r="U91" i="3"/>
  <c r="S91" i="3"/>
  <c r="W88" i="3"/>
  <c r="U88" i="3"/>
  <c r="S88" i="3"/>
  <c r="W85" i="3"/>
  <c r="U85" i="3"/>
  <c r="S85" i="3"/>
  <c r="W82" i="3"/>
  <c r="U82" i="3"/>
  <c r="S82" i="3"/>
  <c r="W79" i="3"/>
  <c r="U79" i="3"/>
  <c r="S79" i="3"/>
  <c r="W76" i="3"/>
  <c r="U76" i="3"/>
  <c r="S76" i="3"/>
  <c r="W73" i="3"/>
  <c r="U73" i="3"/>
  <c r="S73" i="3"/>
  <c r="W69" i="3"/>
  <c r="U69" i="3"/>
  <c r="S69" i="3"/>
  <c r="W66" i="3"/>
  <c r="U66" i="3"/>
  <c r="S66" i="3"/>
  <c r="W62" i="3"/>
  <c r="U62" i="3"/>
  <c r="S62" i="3"/>
  <c r="W56" i="3"/>
  <c r="U56" i="3"/>
  <c r="S56" i="3"/>
  <c r="Q53" i="3"/>
  <c r="W49" i="3"/>
  <c r="U49" i="3"/>
  <c r="S49" i="3"/>
  <c r="W46" i="3"/>
  <c r="U46" i="3"/>
  <c r="S46" i="3"/>
  <c r="W45" i="3"/>
  <c r="U45" i="3"/>
  <c r="S45" i="3"/>
  <c r="W41" i="3" l="1"/>
  <c r="U41" i="3"/>
  <c r="S41" i="3"/>
  <c r="W40" i="3"/>
  <c r="U40" i="3"/>
  <c r="S40" i="3"/>
  <c r="W36" i="3"/>
  <c r="U36" i="3"/>
  <c r="S36" i="3"/>
  <c r="W35" i="3"/>
  <c r="U35" i="3"/>
  <c r="S35" i="3"/>
  <c r="W32" i="3"/>
  <c r="U32" i="3"/>
  <c r="S32" i="3"/>
  <c r="W31" i="3"/>
  <c r="U31" i="3"/>
  <c r="S31" i="3"/>
  <c r="W27" i="3"/>
  <c r="U27" i="3"/>
  <c r="S27" i="3"/>
  <c r="W26" i="3"/>
  <c r="U26" i="3"/>
  <c r="S26" i="3"/>
  <c r="U22" i="3"/>
  <c r="S22" i="3"/>
  <c r="Q22" i="3"/>
  <c r="Q19" i="3"/>
  <c r="Q18" i="3"/>
  <c r="Q15" i="3"/>
  <c r="Q14" i="3"/>
  <c r="N300" i="3" l="1"/>
  <c r="R300" i="3" s="1"/>
  <c r="T300" i="3" s="1"/>
  <c r="W299" i="3"/>
  <c r="U299" i="3"/>
  <c r="S299" i="3"/>
  <c r="Q299" i="3"/>
  <c r="P299" i="3"/>
  <c r="O299" i="3"/>
  <c r="M299" i="3"/>
  <c r="L299" i="3"/>
  <c r="K299" i="3"/>
  <c r="N297" i="3"/>
  <c r="R297" i="3" s="1"/>
  <c r="W296" i="3"/>
  <c r="U296" i="3"/>
  <c r="S296" i="3"/>
  <c r="Q296" i="3"/>
  <c r="P296" i="3"/>
  <c r="O296" i="3"/>
  <c r="N296" i="3"/>
  <c r="M296" i="3"/>
  <c r="L296" i="3"/>
  <c r="K296" i="3"/>
  <c r="N294" i="3"/>
  <c r="W293" i="3"/>
  <c r="U293" i="3"/>
  <c r="S293" i="3"/>
  <c r="Q293" i="3"/>
  <c r="P293" i="3"/>
  <c r="O293" i="3"/>
  <c r="M293" i="3"/>
  <c r="L293" i="3"/>
  <c r="K293" i="3"/>
  <c r="N291" i="3"/>
  <c r="R291" i="3" s="1"/>
  <c r="W290" i="3"/>
  <c r="U290" i="3"/>
  <c r="S290" i="3"/>
  <c r="Q290" i="3"/>
  <c r="P290" i="3"/>
  <c r="O290" i="3"/>
  <c r="N290" i="3"/>
  <c r="M290" i="3"/>
  <c r="L290" i="3"/>
  <c r="K290" i="3"/>
  <c r="T288" i="3"/>
  <c r="N288" i="3"/>
  <c r="R288" i="3" s="1"/>
  <c r="L288" i="3"/>
  <c r="T287" i="3"/>
  <c r="R287" i="3"/>
  <c r="V287" i="3" s="1"/>
  <c r="N287" i="3"/>
  <c r="N286" i="3"/>
  <c r="W285" i="3"/>
  <c r="U285" i="3"/>
  <c r="S285" i="3"/>
  <c r="Q285" i="3"/>
  <c r="P285" i="3"/>
  <c r="O285" i="3"/>
  <c r="M285" i="3"/>
  <c r="L285" i="3"/>
  <c r="K285" i="3"/>
  <c r="N283" i="3"/>
  <c r="W282" i="3"/>
  <c r="U282" i="3"/>
  <c r="S282" i="3"/>
  <c r="Q282" i="3"/>
  <c r="P282" i="3"/>
  <c r="O282" i="3"/>
  <c r="M282" i="3"/>
  <c r="L282" i="3"/>
  <c r="K282" i="3"/>
  <c r="U279" i="3"/>
  <c r="N280" i="3"/>
  <c r="S279" i="3"/>
  <c r="Q279" i="3"/>
  <c r="P279" i="3"/>
  <c r="O279" i="3"/>
  <c r="M279" i="3"/>
  <c r="L279" i="3"/>
  <c r="K279" i="3"/>
  <c r="L277" i="3"/>
  <c r="N277" i="3" s="1"/>
  <c r="R277" i="3" s="1"/>
  <c r="N276" i="3"/>
  <c r="S275" i="3"/>
  <c r="Q275" i="3"/>
  <c r="P275" i="3"/>
  <c r="O275" i="3"/>
  <c r="M275" i="3"/>
  <c r="L275" i="3"/>
  <c r="K275" i="3"/>
  <c r="N273" i="3"/>
  <c r="N272" i="3" s="1"/>
  <c r="U272" i="3"/>
  <c r="S272" i="3"/>
  <c r="Q272" i="3"/>
  <c r="P272" i="3"/>
  <c r="O272" i="3"/>
  <c r="M272" i="3"/>
  <c r="L272" i="3"/>
  <c r="K272" i="3"/>
  <c r="U270" i="3"/>
  <c r="U268" i="3" s="1"/>
  <c r="S270" i="3"/>
  <c r="N270" i="3"/>
  <c r="R270" i="3" s="1"/>
  <c r="L270" i="3"/>
  <c r="R269" i="3"/>
  <c r="V269" i="3" s="1"/>
  <c r="N269" i="3"/>
  <c r="W268" i="3"/>
  <c r="S268" i="3"/>
  <c r="Q268" i="3"/>
  <c r="P268" i="3"/>
  <c r="O268" i="3"/>
  <c r="M268" i="3"/>
  <c r="L268" i="3"/>
  <c r="K268" i="3"/>
  <c r="N266" i="3"/>
  <c r="N263" i="3" s="1"/>
  <c r="L266" i="3"/>
  <c r="S265" i="3"/>
  <c r="N265" i="3"/>
  <c r="R265" i="3" s="1"/>
  <c r="V265" i="3" s="1"/>
  <c r="N264" i="3"/>
  <c r="R264" i="3" s="1"/>
  <c r="V264" i="3" s="1"/>
  <c r="U263" i="3"/>
  <c r="Q263" i="3"/>
  <c r="P263" i="3"/>
  <c r="O263" i="3"/>
  <c r="M263" i="3"/>
  <c r="L263" i="3"/>
  <c r="K263" i="3"/>
  <c r="N261" i="3"/>
  <c r="R261" i="3" s="1"/>
  <c r="L261" i="3"/>
  <c r="N260" i="3"/>
  <c r="W259" i="3"/>
  <c r="U259" i="3"/>
  <c r="S259" i="3"/>
  <c r="Q259" i="3"/>
  <c r="P259" i="3"/>
  <c r="O259" i="3"/>
  <c r="M259" i="3"/>
  <c r="L259" i="3"/>
  <c r="K259" i="3"/>
  <c r="N257" i="3"/>
  <c r="R257" i="3" s="1"/>
  <c r="W256" i="3"/>
  <c r="U256" i="3"/>
  <c r="S256" i="3"/>
  <c r="Q256" i="3"/>
  <c r="P256" i="3"/>
  <c r="O256" i="3"/>
  <c r="M256" i="3"/>
  <c r="L256" i="3"/>
  <c r="K256" i="3"/>
  <c r="L254" i="3"/>
  <c r="N254" i="3" s="1"/>
  <c r="R254" i="3" s="1"/>
  <c r="N253" i="3"/>
  <c r="W252" i="3"/>
  <c r="U252" i="3"/>
  <c r="S252" i="3"/>
  <c r="Q252" i="3"/>
  <c r="P252" i="3"/>
  <c r="O252" i="3"/>
  <c r="M252" i="3"/>
  <c r="L252" i="3"/>
  <c r="K252" i="3"/>
  <c r="L250" i="3"/>
  <c r="N250" i="3" s="1"/>
  <c r="R250" i="3" s="1"/>
  <c r="V250" i="3" s="1"/>
  <c r="N249" i="3"/>
  <c r="R249" i="3" s="1"/>
  <c r="U245" i="3"/>
  <c r="R248" i="3"/>
  <c r="N248" i="3"/>
  <c r="N247" i="3"/>
  <c r="R247" i="3" s="1"/>
  <c r="N246" i="3"/>
  <c r="R246" i="3" s="1"/>
  <c r="W245" i="3"/>
  <c r="S245" i="3"/>
  <c r="Q245" i="3"/>
  <c r="P245" i="3"/>
  <c r="O245" i="3"/>
  <c r="M245" i="3"/>
  <c r="L245" i="3"/>
  <c r="K245" i="3"/>
  <c r="R243" i="3"/>
  <c r="R238" i="3" s="1"/>
  <c r="V238" i="3" s="1"/>
  <c r="L243" i="3"/>
  <c r="N243" i="3" s="1"/>
  <c r="N238" i="3" s="1"/>
  <c r="N242" i="3"/>
  <c r="R242" i="3" s="1"/>
  <c r="S238" i="3"/>
  <c r="N241" i="3"/>
  <c r="R241" i="3" s="1"/>
  <c r="N240" i="3"/>
  <c r="R240" i="3" s="1"/>
  <c r="X240" i="3" s="1"/>
  <c r="R239" i="3"/>
  <c r="N239" i="3"/>
  <c r="W238" i="3"/>
  <c r="U238" i="3"/>
  <c r="Q238" i="3"/>
  <c r="P238" i="3"/>
  <c r="O238" i="3"/>
  <c r="M238" i="3"/>
  <c r="L238" i="3"/>
  <c r="K238" i="3"/>
  <c r="X236" i="3"/>
  <c r="L236" i="3"/>
  <c r="N236" i="3" s="1"/>
  <c r="R236" i="3" s="1"/>
  <c r="S235" i="3"/>
  <c r="S227" i="3" s="1"/>
  <c r="L235" i="3"/>
  <c r="N235" i="3" s="1"/>
  <c r="R235" i="3" s="1"/>
  <c r="L234" i="3"/>
  <c r="N234" i="3" s="1"/>
  <c r="R234" i="3" s="1"/>
  <c r="L233" i="3"/>
  <c r="N232" i="3"/>
  <c r="R232" i="3" s="1"/>
  <c r="R231" i="3"/>
  <c r="N231" i="3"/>
  <c r="N230" i="3"/>
  <c r="R230" i="3" s="1"/>
  <c r="N229" i="3"/>
  <c r="R229" i="3" s="1"/>
  <c r="N228" i="3"/>
  <c r="W227" i="3"/>
  <c r="U227" i="3"/>
  <c r="Q227" i="3"/>
  <c r="P227" i="3"/>
  <c r="O227" i="3"/>
  <c r="M227" i="3"/>
  <c r="K227" i="3"/>
  <c r="N225" i="3"/>
  <c r="R225" i="3" s="1"/>
  <c r="V225" i="3" s="1"/>
  <c r="T224" i="3"/>
  <c r="N224" i="3"/>
  <c r="R224" i="3" s="1"/>
  <c r="U223" i="3"/>
  <c r="Q223" i="3"/>
  <c r="P223" i="3"/>
  <c r="O223" i="3"/>
  <c r="N223" i="3"/>
  <c r="M223" i="3"/>
  <c r="L223" i="3"/>
  <c r="K223" i="3"/>
  <c r="W221" i="3"/>
  <c r="U221" i="3"/>
  <c r="U219" i="3" s="1"/>
  <c r="S221" i="3"/>
  <c r="N221" i="3"/>
  <c r="R221" i="3" s="1"/>
  <c r="T220" i="3"/>
  <c r="N220" i="3"/>
  <c r="R220" i="3" s="1"/>
  <c r="V220" i="3" s="1"/>
  <c r="W219" i="3"/>
  <c r="S219" i="3"/>
  <c r="Q219" i="3"/>
  <c r="P219" i="3"/>
  <c r="O219" i="3"/>
  <c r="N219" i="3"/>
  <c r="M219" i="3"/>
  <c r="L219" i="3"/>
  <c r="K219" i="3"/>
  <c r="N217" i="3"/>
  <c r="W216" i="3"/>
  <c r="U216" i="3"/>
  <c r="S216" i="3"/>
  <c r="Q216" i="3"/>
  <c r="P216" i="3"/>
  <c r="O216" i="3"/>
  <c r="M216" i="3"/>
  <c r="L216" i="3"/>
  <c r="K216" i="3"/>
  <c r="L214" i="3"/>
  <c r="N214" i="3" s="1"/>
  <c r="R214" i="3" s="1"/>
  <c r="V214" i="3" s="1"/>
  <c r="S212" i="3"/>
  <c r="N213" i="3"/>
  <c r="U212" i="3"/>
  <c r="Q212" i="3"/>
  <c r="P212" i="3"/>
  <c r="O212" i="3"/>
  <c r="M212" i="3"/>
  <c r="L212" i="3"/>
  <c r="K212" i="3"/>
  <c r="L210" i="3"/>
  <c r="L208" i="3" s="1"/>
  <c r="N209" i="3"/>
  <c r="R209" i="3" s="1"/>
  <c r="W208" i="3"/>
  <c r="U208" i="3"/>
  <c r="S208" i="3"/>
  <c r="Q208" i="3"/>
  <c r="P208" i="3"/>
  <c r="O208" i="3"/>
  <c r="M208" i="3"/>
  <c r="K208" i="3"/>
  <c r="N206" i="3"/>
  <c r="W205" i="3"/>
  <c r="U205" i="3"/>
  <c r="S205" i="3"/>
  <c r="Q205" i="3"/>
  <c r="P205" i="3"/>
  <c r="O205" i="3"/>
  <c r="M205" i="3"/>
  <c r="L205" i="3"/>
  <c r="K205" i="3"/>
  <c r="N203" i="3"/>
  <c r="R203" i="3" s="1"/>
  <c r="T203" i="3" s="1"/>
  <c r="W202" i="3"/>
  <c r="U202" i="3"/>
  <c r="S202" i="3"/>
  <c r="Q202" i="3"/>
  <c r="P202" i="3"/>
  <c r="O202" i="3"/>
  <c r="M202" i="3"/>
  <c r="L202" i="3"/>
  <c r="K202" i="3"/>
  <c r="T200" i="3"/>
  <c r="N200" i="3"/>
  <c r="R200" i="3" s="1"/>
  <c r="W199" i="3"/>
  <c r="U199" i="3"/>
  <c r="S199" i="3"/>
  <c r="Q199" i="3"/>
  <c r="P199" i="3"/>
  <c r="O199" i="3"/>
  <c r="N199" i="3"/>
  <c r="M199" i="3"/>
  <c r="L199" i="3"/>
  <c r="K199" i="3"/>
  <c r="W195" i="3"/>
  <c r="S195" i="3"/>
  <c r="L197" i="3"/>
  <c r="N196" i="3"/>
  <c r="U195" i="3"/>
  <c r="Q195" i="3"/>
  <c r="P195" i="3"/>
  <c r="O195" i="3"/>
  <c r="M195" i="3"/>
  <c r="K195" i="3"/>
  <c r="N193" i="3"/>
  <c r="R193" i="3" s="1"/>
  <c r="V193" i="3" s="1"/>
  <c r="N192" i="3"/>
  <c r="W191" i="3"/>
  <c r="U191" i="3"/>
  <c r="S191" i="3"/>
  <c r="Q191" i="3"/>
  <c r="P191" i="3"/>
  <c r="O191" i="3"/>
  <c r="M191" i="3"/>
  <c r="L191" i="3"/>
  <c r="K191" i="3"/>
  <c r="V189" i="3"/>
  <c r="N189" i="3"/>
  <c r="R189" i="3" s="1"/>
  <c r="W188" i="3"/>
  <c r="U188" i="3"/>
  <c r="S188" i="3"/>
  <c r="Q188" i="3"/>
  <c r="P188" i="3"/>
  <c r="O188" i="3"/>
  <c r="M188" i="3"/>
  <c r="L188" i="3"/>
  <c r="K188" i="3"/>
  <c r="L186" i="3"/>
  <c r="N185" i="3"/>
  <c r="W184" i="3"/>
  <c r="U184" i="3"/>
  <c r="S184" i="3"/>
  <c r="Q184" i="3"/>
  <c r="P184" i="3"/>
  <c r="O184" i="3"/>
  <c r="M184" i="3"/>
  <c r="K184" i="3"/>
  <c r="N182" i="3"/>
  <c r="S181" i="3"/>
  <c r="N181" i="3"/>
  <c r="R181" i="3" s="1"/>
  <c r="X181" i="3" s="1"/>
  <c r="W180" i="3"/>
  <c r="U180" i="3"/>
  <c r="Q180" i="3"/>
  <c r="P180" i="3"/>
  <c r="O180" i="3"/>
  <c r="M180" i="3"/>
  <c r="L180" i="3"/>
  <c r="K180" i="3"/>
  <c r="R178" i="3"/>
  <c r="R177" i="3" s="1"/>
  <c r="V177" i="3" s="1"/>
  <c r="N178" i="3"/>
  <c r="W177" i="3"/>
  <c r="U177" i="3"/>
  <c r="S177" i="3"/>
  <c r="Q177" i="3"/>
  <c r="P177" i="3"/>
  <c r="O177" i="3"/>
  <c r="N177" i="3"/>
  <c r="M177" i="3"/>
  <c r="L177" i="3"/>
  <c r="K177" i="3"/>
  <c r="L175" i="3"/>
  <c r="N175" i="3" s="1"/>
  <c r="R175" i="3" s="1"/>
  <c r="X175" i="3" s="1"/>
  <c r="S174" i="3"/>
  <c r="L174" i="3"/>
  <c r="N173" i="3"/>
  <c r="R173" i="3" s="1"/>
  <c r="N172" i="3"/>
  <c r="R172" i="3" s="1"/>
  <c r="V172" i="3" s="1"/>
  <c r="N171" i="3"/>
  <c r="W170" i="3"/>
  <c r="U170" i="3"/>
  <c r="Q170" i="3"/>
  <c r="P170" i="3"/>
  <c r="O170" i="3"/>
  <c r="M170" i="3"/>
  <c r="K170" i="3"/>
  <c r="L168" i="3"/>
  <c r="R167" i="3"/>
  <c r="N167" i="3"/>
  <c r="N166" i="3"/>
  <c r="R166" i="3" s="1"/>
  <c r="N165" i="3"/>
  <c r="W164" i="3"/>
  <c r="U164" i="3"/>
  <c r="S164" i="3"/>
  <c r="Q164" i="3"/>
  <c r="P164" i="3"/>
  <c r="O164" i="3"/>
  <c r="M164" i="3"/>
  <c r="K164" i="3"/>
  <c r="L162" i="3"/>
  <c r="N161" i="3"/>
  <c r="R161" i="3" s="1"/>
  <c r="N160" i="3"/>
  <c r="R160" i="3" s="1"/>
  <c r="N159" i="3"/>
  <c r="W158" i="3"/>
  <c r="U158" i="3"/>
  <c r="S158" i="3"/>
  <c r="Q158" i="3"/>
  <c r="P158" i="3"/>
  <c r="O158" i="3"/>
  <c r="M158" i="3"/>
  <c r="K158" i="3"/>
  <c r="N156" i="3"/>
  <c r="R156" i="3" s="1"/>
  <c r="V156" i="3" s="1"/>
  <c r="N155" i="3"/>
  <c r="R155" i="3" s="1"/>
  <c r="U154" i="3"/>
  <c r="Q154" i="3"/>
  <c r="P154" i="3"/>
  <c r="O154" i="3"/>
  <c r="N154" i="3"/>
  <c r="M154" i="3"/>
  <c r="L154" i="3"/>
  <c r="K154" i="3"/>
  <c r="R152" i="3"/>
  <c r="N152" i="3"/>
  <c r="N151" i="3"/>
  <c r="R151" i="3" s="1"/>
  <c r="V151" i="3" s="1"/>
  <c r="W150" i="3"/>
  <c r="U150" i="3"/>
  <c r="S150" i="3"/>
  <c r="Q150" i="3"/>
  <c r="P150" i="3"/>
  <c r="O150" i="3"/>
  <c r="M150" i="3"/>
  <c r="L150" i="3"/>
  <c r="K150" i="3"/>
  <c r="L148" i="3"/>
  <c r="N148" i="3" s="1"/>
  <c r="R148" i="3" s="1"/>
  <c r="S147" i="3"/>
  <c r="L147" i="3"/>
  <c r="N146" i="3"/>
  <c r="R146" i="3" s="1"/>
  <c r="V146" i="3" s="1"/>
  <c r="N145" i="3"/>
  <c r="R145" i="3" s="1"/>
  <c r="U144" i="3"/>
  <c r="Q144" i="3"/>
  <c r="P144" i="3"/>
  <c r="O144" i="3"/>
  <c r="M144" i="3"/>
  <c r="K144" i="3"/>
  <c r="R142" i="3"/>
  <c r="L142" i="3"/>
  <c r="N142" i="3" s="1"/>
  <c r="W139" i="3"/>
  <c r="S139" i="3"/>
  <c r="N141" i="3"/>
  <c r="R141" i="3" s="1"/>
  <c r="V141" i="3" s="1"/>
  <c r="N140" i="3"/>
  <c r="U139" i="3"/>
  <c r="Q139" i="3"/>
  <c r="P139" i="3"/>
  <c r="O139" i="3"/>
  <c r="M139" i="3"/>
  <c r="L139" i="3"/>
  <c r="K139" i="3"/>
  <c r="L137" i="3"/>
  <c r="N136" i="3"/>
  <c r="R136" i="3" s="1"/>
  <c r="R135" i="3"/>
  <c r="N135" i="3"/>
  <c r="W134" i="3"/>
  <c r="S134" i="3"/>
  <c r="Q134" i="3"/>
  <c r="P134" i="3"/>
  <c r="O134" i="3"/>
  <c r="M134" i="3"/>
  <c r="K134" i="3"/>
  <c r="L132" i="3"/>
  <c r="L131" i="3"/>
  <c r="N131" i="3" s="1"/>
  <c r="R131" i="3" s="1"/>
  <c r="N130" i="3"/>
  <c r="R130" i="3" s="1"/>
  <c r="V130" i="3" s="1"/>
  <c r="N129" i="3"/>
  <c r="R129" i="3" s="1"/>
  <c r="V129" i="3" s="1"/>
  <c r="U128" i="3"/>
  <c r="Q128" i="3"/>
  <c r="P128" i="3"/>
  <c r="O128" i="3"/>
  <c r="M128" i="3"/>
  <c r="K128" i="3"/>
  <c r="R126" i="3"/>
  <c r="T126" i="3" s="1"/>
  <c r="N126" i="3"/>
  <c r="N125" i="3"/>
  <c r="W124" i="3"/>
  <c r="U124" i="3"/>
  <c r="S124" i="3"/>
  <c r="Q124" i="3"/>
  <c r="P124" i="3"/>
  <c r="O124" i="3"/>
  <c r="M124" i="3"/>
  <c r="L124" i="3"/>
  <c r="K124" i="3"/>
  <c r="N122" i="3"/>
  <c r="R122" i="3" s="1"/>
  <c r="R121" i="3" s="1"/>
  <c r="W121" i="3"/>
  <c r="X121" i="3" s="1"/>
  <c r="S121" i="3"/>
  <c r="Q121" i="3"/>
  <c r="P121" i="3"/>
  <c r="O121" i="3"/>
  <c r="M121" i="3"/>
  <c r="L121" i="3"/>
  <c r="K121" i="3"/>
  <c r="W119" i="3"/>
  <c r="X119" i="3" s="1"/>
  <c r="U119" i="3"/>
  <c r="U118" i="3" s="1"/>
  <c r="N119" i="3"/>
  <c r="R119" i="3" s="1"/>
  <c r="S118" i="3"/>
  <c r="Q118" i="3"/>
  <c r="P118" i="3"/>
  <c r="O118" i="3"/>
  <c r="N118" i="3"/>
  <c r="M118" i="3"/>
  <c r="L118" i="3"/>
  <c r="K118" i="3"/>
  <c r="N116" i="3"/>
  <c r="W115" i="3"/>
  <c r="U115" i="3"/>
  <c r="S115" i="3"/>
  <c r="Q115" i="3"/>
  <c r="P115" i="3"/>
  <c r="O115" i="3"/>
  <c r="M115" i="3"/>
  <c r="L115" i="3"/>
  <c r="K115" i="3"/>
  <c r="N113" i="3"/>
  <c r="R113" i="3" s="1"/>
  <c r="T113" i="3" s="1"/>
  <c r="R112" i="3"/>
  <c r="N112" i="3"/>
  <c r="W111" i="3"/>
  <c r="U111" i="3"/>
  <c r="S111" i="3"/>
  <c r="Q111" i="3"/>
  <c r="P111" i="3"/>
  <c r="O111" i="3"/>
  <c r="N111" i="3"/>
  <c r="M111" i="3"/>
  <c r="L111" i="3"/>
  <c r="K111" i="3"/>
  <c r="N109" i="3"/>
  <c r="R109" i="3" s="1"/>
  <c r="N108" i="3"/>
  <c r="W107" i="3"/>
  <c r="U107" i="3"/>
  <c r="S107" i="3"/>
  <c r="Q107" i="3"/>
  <c r="P107" i="3"/>
  <c r="O107" i="3"/>
  <c r="M107" i="3"/>
  <c r="L107" i="3"/>
  <c r="K107" i="3"/>
  <c r="N105" i="3"/>
  <c r="R105" i="3" s="1"/>
  <c r="T105" i="3" s="1"/>
  <c r="N104" i="3"/>
  <c r="R104" i="3" s="1"/>
  <c r="X104" i="3" s="1"/>
  <c r="W103" i="3"/>
  <c r="U103" i="3"/>
  <c r="S103" i="3"/>
  <c r="Q103" i="3"/>
  <c r="P103" i="3"/>
  <c r="O103" i="3"/>
  <c r="M103" i="3"/>
  <c r="L103" i="3"/>
  <c r="K103" i="3"/>
  <c r="N101" i="3"/>
  <c r="R101" i="3" s="1"/>
  <c r="T101" i="3" s="1"/>
  <c r="S100" i="3"/>
  <c r="N100" i="3"/>
  <c r="R100" i="3" s="1"/>
  <c r="N99" i="3"/>
  <c r="R99" i="3" s="1"/>
  <c r="N98" i="3"/>
  <c r="W97" i="3"/>
  <c r="U97" i="3"/>
  <c r="Q97" i="3"/>
  <c r="P97" i="3"/>
  <c r="O97" i="3"/>
  <c r="M97" i="3"/>
  <c r="L97" i="3"/>
  <c r="K97" i="3"/>
  <c r="U93" i="3"/>
  <c r="N94" i="3"/>
  <c r="W93" i="3"/>
  <c r="S93" i="3"/>
  <c r="Q93" i="3"/>
  <c r="P93" i="3"/>
  <c r="O93" i="3"/>
  <c r="M93" i="3"/>
  <c r="L93" i="3"/>
  <c r="K93" i="3"/>
  <c r="N91" i="3"/>
  <c r="R91" i="3" s="1"/>
  <c r="W90" i="3"/>
  <c r="U90" i="3"/>
  <c r="S90" i="3"/>
  <c r="Q90" i="3"/>
  <c r="P90" i="3"/>
  <c r="O90" i="3"/>
  <c r="N90" i="3"/>
  <c r="M90" i="3"/>
  <c r="L90" i="3"/>
  <c r="K90" i="3"/>
  <c r="N88" i="3"/>
  <c r="R88" i="3" s="1"/>
  <c r="W87" i="3"/>
  <c r="U87" i="3"/>
  <c r="S87" i="3"/>
  <c r="Q87" i="3"/>
  <c r="P87" i="3"/>
  <c r="O87" i="3"/>
  <c r="M87" i="3"/>
  <c r="L87" i="3"/>
  <c r="K87" i="3"/>
  <c r="N85" i="3"/>
  <c r="R85" i="3" s="1"/>
  <c r="W84" i="3"/>
  <c r="U84" i="3"/>
  <c r="S84" i="3"/>
  <c r="Q84" i="3"/>
  <c r="P84" i="3"/>
  <c r="O84" i="3"/>
  <c r="N84" i="3"/>
  <c r="M84" i="3"/>
  <c r="L84" i="3"/>
  <c r="K84" i="3"/>
  <c r="N82" i="3"/>
  <c r="R82" i="3" s="1"/>
  <c r="R81" i="3" s="1"/>
  <c r="W81" i="3"/>
  <c r="U81" i="3"/>
  <c r="S81" i="3"/>
  <c r="T81" i="3" s="1"/>
  <c r="Q81" i="3"/>
  <c r="P81" i="3"/>
  <c r="O81" i="3"/>
  <c r="M81" i="3"/>
  <c r="L81" i="3"/>
  <c r="K81" i="3"/>
  <c r="N79" i="3"/>
  <c r="R79" i="3" s="1"/>
  <c r="W78" i="3"/>
  <c r="U78" i="3"/>
  <c r="S78" i="3"/>
  <c r="Q78" i="3"/>
  <c r="P78" i="3"/>
  <c r="O78" i="3"/>
  <c r="N78" i="3"/>
  <c r="M78" i="3"/>
  <c r="L78" i="3"/>
  <c r="K78" i="3"/>
  <c r="X76" i="3"/>
  <c r="V76" i="3"/>
  <c r="N76" i="3"/>
  <c r="R76" i="3" s="1"/>
  <c r="R75" i="3" s="1"/>
  <c r="W75" i="3"/>
  <c r="X75" i="3" s="1"/>
  <c r="U75" i="3"/>
  <c r="V75" i="3" s="1"/>
  <c r="S75" i="3"/>
  <c r="T75" i="3" s="1"/>
  <c r="Q75" i="3"/>
  <c r="P75" i="3"/>
  <c r="O75" i="3"/>
  <c r="M75" i="3"/>
  <c r="L75" i="3"/>
  <c r="K75" i="3"/>
  <c r="N73" i="3"/>
  <c r="R73" i="3" s="1"/>
  <c r="T73" i="3" s="1"/>
  <c r="W72" i="3"/>
  <c r="U72" i="3"/>
  <c r="S72" i="3"/>
  <c r="Q72" i="3"/>
  <c r="P72" i="3"/>
  <c r="O72" i="3"/>
  <c r="M72" i="3"/>
  <c r="L72" i="3"/>
  <c r="K72" i="3"/>
  <c r="N70" i="3"/>
  <c r="R70" i="3" s="1"/>
  <c r="M69" i="3"/>
  <c r="M68" i="3" s="1"/>
  <c r="W68" i="3"/>
  <c r="S68" i="3"/>
  <c r="Q68" i="3"/>
  <c r="P68" i="3"/>
  <c r="O68" i="3"/>
  <c r="L68" i="3"/>
  <c r="K68" i="3"/>
  <c r="N66" i="3"/>
  <c r="W65" i="3"/>
  <c r="U65" i="3"/>
  <c r="S65" i="3"/>
  <c r="Q65" i="3"/>
  <c r="P65" i="3"/>
  <c r="O65" i="3"/>
  <c r="M65" i="3"/>
  <c r="L65" i="3"/>
  <c r="K65" i="3"/>
  <c r="N63" i="3"/>
  <c r="R63" i="3" s="1"/>
  <c r="V63" i="3" s="1"/>
  <c r="W61" i="3"/>
  <c r="S61" i="3"/>
  <c r="M62" i="3"/>
  <c r="N62" i="3" s="1"/>
  <c r="U61" i="3"/>
  <c r="Q61" i="3"/>
  <c r="P61" i="3"/>
  <c r="O61" i="3"/>
  <c r="M61" i="3"/>
  <c r="L61" i="3"/>
  <c r="K61" i="3"/>
  <c r="N59" i="3"/>
  <c r="R59" i="3" s="1"/>
  <c r="V59" i="3" s="1"/>
  <c r="W58" i="3"/>
  <c r="U58" i="3"/>
  <c r="S58" i="3"/>
  <c r="Q58" i="3"/>
  <c r="P58" i="3"/>
  <c r="O58" i="3"/>
  <c r="M58" i="3"/>
  <c r="L58" i="3"/>
  <c r="K58" i="3"/>
  <c r="R56" i="3"/>
  <c r="V56" i="3" s="1"/>
  <c r="N56" i="3"/>
  <c r="W55" i="3"/>
  <c r="U55" i="3"/>
  <c r="S55" i="3"/>
  <c r="Q55" i="3"/>
  <c r="P55" i="3"/>
  <c r="O55" i="3"/>
  <c r="N55" i="3"/>
  <c r="M55" i="3"/>
  <c r="L55" i="3"/>
  <c r="K55" i="3"/>
  <c r="N53" i="3"/>
  <c r="N52" i="3" s="1"/>
  <c r="W52" i="3"/>
  <c r="U52" i="3"/>
  <c r="S52" i="3"/>
  <c r="P52" i="3"/>
  <c r="O52" i="3"/>
  <c r="M52" i="3"/>
  <c r="L52" i="3"/>
  <c r="K52" i="3"/>
  <c r="N50" i="3"/>
  <c r="R50" i="3" s="1"/>
  <c r="U48" i="3"/>
  <c r="N49" i="3"/>
  <c r="N48" i="3" s="1"/>
  <c r="W48" i="3"/>
  <c r="S48" i="3"/>
  <c r="Q48" i="3"/>
  <c r="P48" i="3"/>
  <c r="O48" i="3"/>
  <c r="M48" i="3"/>
  <c r="L48" i="3"/>
  <c r="K48" i="3"/>
  <c r="W44" i="3"/>
  <c r="S44" i="3"/>
  <c r="L46" i="3"/>
  <c r="N45" i="3"/>
  <c r="U44" i="3"/>
  <c r="Q44" i="3"/>
  <c r="P44" i="3"/>
  <c r="O44" i="3"/>
  <c r="M44" i="3"/>
  <c r="K44" i="3"/>
  <c r="N42" i="3"/>
  <c r="R42" i="3" s="1"/>
  <c r="W39" i="3"/>
  <c r="S39" i="3"/>
  <c r="L41" i="3"/>
  <c r="U39" i="3"/>
  <c r="N40" i="3"/>
  <c r="Q39" i="3"/>
  <c r="P39" i="3"/>
  <c r="O39" i="3"/>
  <c r="M39" i="3"/>
  <c r="K39" i="3"/>
  <c r="W37" i="3"/>
  <c r="U37" i="3"/>
  <c r="V37" i="3" s="1"/>
  <c r="S37" i="3"/>
  <c r="S34" i="3" s="1"/>
  <c r="L37" i="3"/>
  <c r="N37" i="3" s="1"/>
  <c r="R37" i="3" s="1"/>
  <c r="X36" i="3"/>
  <c r="W34" i="3"/>
  <c r="L36" i="3"/>
  <c r="N36" i="3" s="1"/>
  <c r="R36" i="3" s="1"/>
  <c r="V36" i="3" s="1"/>
  <c r="U34" i="3"/>
  <c r="N35" i="3"/>
  <c r="Q34" i="3"/>
  <c r="P34" i="3"/>
  <c r="O34" i="3"/>
  <c r="M34" i="3"/>
  <c r="K34" i="3"/>
  <c r="U30" i="3"/>
  <c r="N32" i="3"/>
  <c r="L32" i="3"/>
  <c r="R31" i="3"/>
  <c r="N31" i="3"/>
  <c r="W30" i="3"/>
  <c r="S30" i="3"/>
  <c r="Q30" i="3"/>
  <c r="P30" i="3"/>
  <c r="O30" i="3"/>
  <c r="M30" i="3"/>
  <c r="L30" i="3"/>
  <c r="K30" i="3"/>
  <c r="R28" i="3"/>
  <c r="T28" i="3" s="1"/>
  <c r="N28" i="3"/>
  <c r="U25" i="3"/>
  <c r="L27" i="3"/>
  <c r="N27" i="3" s="1"/>
  <c r="R27" i="3" s="1"/>
  <c r="V27" i="3" s="1"/>
  <c r="N26" i="3"/>
  <c r="R26" i="3" s="1"/>
  <c r="V26" i="3" s="1"/>
  <c r="W25" i="3"/>
  <c r="S25" i="3"/>
  <c r="Q25" i="3"/>
  <c r="P25" i="3"/>
  <c r="O25" i="3"/>
  <c r="N25" i="3"/>
  <c r="M25" i="3"/>
  <c r="K25" i="3"/>
  <c r="N23" i="3"/>
  <c r="R23" i="3" s="1"/>
  <c r="T23" i="3" s="1"/>
  <c r="N22" i="3"/>
  <c r="W21" i="3"/>
  <c r="Q21" i="3"/>
  <c r="P21" i="3"/>
  <c r="O21" i="3"/>
  <c r="M21" i="3"/>
  <c r="L21" i="3"/>
  <c r="K21" i="3"/>
  <c r="N19" i="3"/>
  <c r="R19" i="3" s="1"/>
  <c r="N18" i="3"/>
  <c r="R18" i="3" s="1"/>
  <c r="T18" i="3" s="1"/>
  <c r="W17" i="3"/>
  <c r="U17" i="3"/>
  <c r="S17" i="3"/>
  <c r="Q17" i="3"/>
  <c r="P17" i="3"/>
  <c r="O17" i="3"/>
  <c r="M17" i="3"/>
  <c r="L17" i="3"/>
  <c r="K17" i="3"/>
  <c r="Q13" i="3"/>
  <c r="N15" i="3"/>
  <c r="N14" i="3"/>
  <c r="R14" i="3" s="1"/>
  <c r="W13" i="3"/>
  <c r="U13" i="3"/>
  <c r="S13" i="3"/>
  <c r="P13" i="3"/>
  <c r="O13" i="3"/>
  <c r="M13" i="3"/>
  <c r="L13" i="3"/>
  <c r="K13" i="3"/>
  <c r="V31" i="3" l="1"/>
  <c r="T31" i="3"/>
  <c r="X31" i="3"/>
  <c r="V91" i="3"/>
  <c r="R90" i="3"/>
  <c r="V90" i="3" s="1"/>
  <c r="V111" i="3"/>
  <c r="V160" i="3"/>
  <c r="T160" i="3"/>
  <c r="X277" i="3"/>
  <c r="T277" i="3"/>
  <c r="N21" i="3"/>
  <c r="R22" i="3"/>
  <c r="R21" i="3" s="1"/>
  <c r="K95" i="3"/>
  <c r="K303" i="3" s="1"/>
  <c r="N30" i="3"/>
  <c r="R32" i="3"/>
  <c r="R84" i="3"/>
  <c r="V85" i="3"/>
  <c r="N186" i="3"/>
  <c r="R186" i="3" s="1"/>
  <c r="L184" i="3"/>
  <c r="V200" i="3"/>
  <c r="R199" i="3"/>
  <c r="V199" i="3" s="1"/>
  <c r="V247" i="3"/>
  <c r="T247" i="3"/>
  <c r="V254" i="3"/>
  <c r="T254" i="3"/>
  <c r="X291" i="3"/>
  <c r="V291" i="3"/>
  <c r="R290" i="3"/>
  <c r="V290" i="3" s="1"/>
  <c r="V84" i="3"/>
  <c r="R125" i="3"/>
  <c r="N124" i="3"/>
  <c r="V142" i="3"/>
  <c r="T142" i="3"/>
  <c r="X155" i="3"/>
  <c r="V155" i="3"/>
  <c r="V166" i="3"/>
  <c r="T166" i="3"/>
  <c r="X229" i="3"/>
  <c r="V229" i="3"/>
  <c r="T229" i="3"/>
  <c r="V243" i="3"/>
  <c r="T243" i="3"/>
  <c r="V261" i="3"/>
  <c r="T261" i="3"/>
  <c r="X42" i="3"/>
  <c r="V42" i="3"/>
  <c r="T42" i="3"/>
  <c r="N41" i="3"/>
  <c r="R41" i="3" s="1"/>
  <c r="L39" i="3"/>
  <c r="T27" i="3"/>
  <c r="T85" i="3"/>
  <c r="T109" i="3"/>
  <c r="V109" i="3"/>
  <c r="X109" i="3"/>
  <c r="X112" i="3"/>
  <c r="R111" i="3"/>
  <c r="V148" i="3"/>
  <c r="T148" i="3"/>
  <c r="V152" i="3"/>
  <c r="T152" i="3"/>
  <c r="T181" i="3"/>
  <c r="S180" i="3"/>
  <c r="R206" i="3"/>
  <c r="N205" i="3"/>
  <c r="V231" i="3"/>
  <c r="T231" i="3"/>
  <c r="T290" i="3"/>
  <c r="X26" i="3"/>
  <c r="N46" i="3"/>
  <c r="R46" i="3" s="1"/>
  <c r="L44" i="3"/>
  <c r="R72" i="3"/>
  <c r="V72" i="3" s="1"/>
  <c r="V73" i="3"/>
  <c r="V79" i="3"/>
  <c r="R78" i="3"/>
  <c r="V78" i="3" s="1"/>
  <c r="R87" i="3"/>
  <c r="X87" i="3" s="1"/>
  <c r="X88" i="3"/>
  <c r="T88" i="3"/>
  <c r="T91" i="3"/>
  <c r="N147" i="3"/>
  <c r="L144" i="3"/>
  <c r="T155" i="3"/>
  <c r="T172" i="3"/>
  <c r="X224" i="3"/>
  <c r="V224" i="3"/>
  <c r="V230" i="3"/>
  <c r="T230" i="3"/>
  <c r="X246" i="3"/>
  <c r="V246" i="3"/>
  <c r="T246" i="3"/>
  <c r="V101" i="3"/>
  <c r="N121" i="3"/>
  <c r="X269" i="3"/>
  <c r="L25" i="3"/>
  <c r="L95" i="3" s="1"/>
  <c r="L34" i="3"/>
  <c r="N69" i="3"/>
  <c r="R69" i="3" s="1"/>
  <c r="V69" i="3" s="1"/>
  <c r="T82" i="3"/>
  <c r="N72" i="3"/>
  <c r="T84" i="3"/>
  <c r="X101" i="3"/>
  <c r="N103" i="3"/>
  <c r="N150" i="3"/>
  <c r="X90" i="3"/>
  <c r="N245" i="3"/>
  <c r="N256" i="3"/>
  <c r="R266" i="3"/>
  <c r="R263" i="3" s="1"/>
  <c r="V263" i="3" s="1"/>
  <c r="N268" i="3"/>
  <c r="T269" i="3"/>
  <c r="R273" i="3"/>
  <c r="X287" i="3"/>
  <c r="Q301" i="3"/>
  <c r="X81" i="3"/>
  <c r="X21" i="3"/>
  <c r="V22" i="3"/>
  <c r="T50" i="3"/>
  <c r="V50" i="3"/>
  <c r="X50" i="3"/>
  <c r="X56" i="3"/>
  <c r="T70" i="3"/>
  <c r="V70" i="3"/>
  <c r="X99" i="3"/>
  <c r="V99" i="3"/>
  <c r="T99" i="3"/>
  <c r="T146" i="3"/>
  <c r="S144" i="3"/>
  <c r="O95" i="3"/>
  <c r="X22" i="3"/>
  <c r="R25" i="3"/>
  <c r="T25" i="3" s="1"/>
  <c r="X27" i="3"/>
  <c r="X32" i="3"/>
  <c r="X37" i="3"/>
  <c r="R49" i="3"/>
  <c r="R53" i="3"/>
  <c r="Q52" i="3"/>
  <c r="Q95" i="3" s="1"/>
  <c r="T56" i="3"/>
  <c r="R62" i="3"/>
  <c r="N61" i="3"/>
  <c r="X70" i="3"/>
  <c r="T76" i="3"/>
  <c r="T78" i="3"/>
  <c r="V82" i="3"/>
  <c r="X85" i="3"/>
  <c r="X130" i="3"/>
  <c r="W128" i="3"/>
  <c r="N132" i="3"/>
  <c r="R132" i="3" s="1"/>
  <c r="L128" i="3"/>
  <c r="X145" i="3"/>
  <c r="T145" i="3"/>
  <c r="V145" i="3"/>
  <c r="P95" i="3"/>
  <c r="V14" i="3"/>
  <c r="X14" i="3"/>
  <c r="V18" i="3"/>
  <c r="T37" i="3"/>
  <c r="V40" i="3"/>
  <c r="R55" i="3"/>
  <c r="V55" i="3" s="1"/>
  <c r="X55" i="3"/>
  <c r="N65" i="3"/>
  <c r="R66" i="3"/>
  <c r="U68" i="3"/>
  <c r="X79" i="3"/>
  <c r="V100" i="3"/>
  <c r="X100" i="3"/>
  <c r="V136" i="3"/>
  <c r="U134" i="3"/>
  <c r="R15" i="3"/>
  <c r="R13" i="3" s="1"/>
  <c r="N13" i="3"/>
  <c r="R45" i="3"/>
  <c r="V45" i="3" s="1"/>
  <c r="N44" i="3"/>
  <c r="R58" i="3"/>
  <c r="V58" i="3" s="1"/>
  <c r="T59" i="3"/>
  <c r="X59" i="3"/>
  <c r="V62" i="3"/>
  <c r="R116" i="3"/>
  <c r="N115" i="3"/>
  <c r="W95" i="3"/>
  <c r="V19" i="3"/>
  <c r="X19" i="3"/>
  <c r="T22" i="3"/>
  <c r="T14" i="3"/>
  <c r="N17" i="3"/>
  <c r="R17" i="3"/>
  <c r="V17" i="3" s="1"/>
  <c r="X18" i="3"/>
  <c r="T19" i="3"/>
  <c r="S21" i="3"/>
  <c r="T21" i="3" s="1"/>
  <c r="V23" i="3"/>
  <c r="X23" i="3"/>
  <c r="T26" i="3"/>
  <c r="V25" i="3"/>
  <c r="V28" i="3"/>
  <c r="X28" i="3"/>
  <c r="R35" i="3"/>
  <c r="V35" i="3" s="1"/>
  <c r="N34" i="3"/>
  <c r="T36" i="3"/>
  <c r="R40" i="3"/>
  <c r="N39" i="3"/>
  <c r="T41" i="3"/>
  <c r="X46" i="3"/>
  <c r="T55" i="3"/>
  <c r="X63" i="3"/>
  <c r="T63" i="3"/>
  <c r="N68" i="3"/>
  <c r="X73" i="3"/>
  <c r="T79" i="3"/>
  <c r="V81" i="3"/>
  <c r="X82" i="3"/>
  <c r="X84" i="3"/>
  <c r="R108" i="3"/>
  <c r="N107" i="3"/>
  <c r="R118" i="3"/>
  <c r="V118" i="3" s="1"/>
  <c r="T119" i="3"/>
  <c r="U121" i="3"/>
  <c r="V121" i="3" s="1"/>
  <c r="V122" i="3"/>
  <c r="M301" i="3"/>
  <c r="R98" i="3"/>
  <c r="N97" i="3"/>
  <c r="T100" i="3"/>
  <c r="S97" i="3"/>
  <c r="T135" i="3"/>
  <c r="X135" i="3"/>
  <c r="V135" i="3"/>
  <c r="X265" i="3"/>
  <c r="W263" i="3"/>
  <c r="R268" i="3"/>
  <c r="V270" i="3"/>
  <c r="M95" i="3"/>
  <c r="M303" i="3" s="1"/>
  <c r="P301" i="3"/>
  <c r="T104" i="3"/>
  <c r="V104" i="3"/>
  <c r="X105" i="3"/>
  <c r="T112" i="3"/>
  <c r="V112" i="3"/>
  <c r="X113" i="3"/>
  <c r="T118" i="3"/>
  <c r="T122" i="3"/>
  <c r="X125" i="3"/>
  <c r="R124" i="3"/>
  <c r="T124" i="3" s="1"/>
  <c r="V126" i="3"/>
  <c r="X126" i="3"/>
  <c r="T131" i="3"/>
  <c r="X131" i="3"/>
  <c r="V131" i="3"/>
  <c r="V132" i="3"/>
  <c r="R140" i="3"/>
  <c r="N139" i="3"/>
  <c r="T141" i="3"/>
  <c r="X156" i="3"/>
  <c r="W154" i="3"/>
  <c r="T161" i="3"/>
  <c r="X161" i="3"/>
  <c r="V161" i="3"/>
  <c r="R171" i="3"/>
  <c r="N174" i="3"/>
  <c r="R174" i="3" s="1"/>
  <c r="L170" i="3"/>
  <c r="V175" i="3"/>
  <c r="T175" i="3"/>
  <c r="R182" i="3"/>
  <c r="N180" i="3"/>
  <c r="R185" i="3"/>
  <c r="X185" i="3" s="1"/>
  <c r="N184" i="3"/>
  <c r="X189" i="3"/>
  <c r="T189" i="3"/>
  <c r="R188" i="3"/>
  <c r="V188" i="3" s="1"/>
  <c r="X200" i="3"/>
  <c r="X203" i="3"/>
  <c r="R202" i="3"/>
  <c r="W212" i="3"/>
  <c r="X241" i="3"/>
  <c r="V241" i="3"/>
  <c r="T241" i="3"/>
  <c r="X248" i="3"/>
  <c r="T248" i="3"/>
  <c r="V248" i="3"/>
  <c r="W279" i="3"/>
  <c r="T297" i="3"/>
  <c r="X297" i="3"/>
  <c r="V297" i="3"/>
  <c r="R296" i="3"/>
  <c r="X151" i="3"/>
  <c r="T151" i="3"/>
  <c r="R150" i="3"/>
  <c r="V150" i="3" s="1"/>
  <c r="R159" i="3"/>
  <c r="N162" i="3"/>
  <c r="R162" i="3" s="1"/>
  <c r="L158" i="3"/>
  <c r="X177" i="3"/>
  <c r="X193" i="3"/>
  <c r="T193" i="3"/>
  <c r="R196" i="3"/>
  <c r="N197" i="3"/>
  <c r="R197" i="3" s="1"/>
  <c r="V197" i="3" s="1"/>
  <c r="L195" i="3"/>
  <c r="X209" i="3"/>
  <c r="T209" i="3"/>
  <c r="V209" i="3"/>
  <c r="X257" i="3"/>
  <c r="T257" i="3"/>
  <c r="R256" i="3"/>
  <c r="V257" i="3"/>
  <c r="X270" i="3"/>
  <c r="R103" i="3"/>
  <c r="V103" i="3" s="1"/>
  <c r="X111" i="3"/>
  <c r="T121" i="3"/>
  <c r="T156" i="3"/>
  <c r="S154" i="3"/>
  <c r="T167" i="3"/>
  <c r="X167" i="3"/>
  <c r="V167" i="3"/>
  <c r="T177" i="3"/>
  <c r="X268" i="3"/>
  <c r="U21" i="3"/>
  <c r="V21" i="3" s="1"/>
  <c r="N58" i="3"/>
  <c r="N75" i="3"/>
  <c r="N81" i="3"/>
  <c r="N87" i="3"/>
  <c r="V88" i="3"/>
  <c r="X91" i="3"/>
  <c r="R94" i="3"/>
  <c r="V94" i="3" s="1"/>
  <c r="N93" i="3"/>
  <c r="V105" i="3"/>
  <c r="T111" i="3"/>
  <c r="V113" i="3"/>
  <c r="W118" i="3"/>
  <c r="X118" i="3" s="1"/>
  <c r="X122" i="3"/>
  <c r="X129" i="3"/>
  <c r="T129" i="3"/>
  <c r="R128" i="3"/>
  <c r="V128" i="3" s="1"/>
  <c r="T130" i="3"/>
  <c r="S128" i="3"/>
  <c r="N128" i="3"/>
  <c r="X136" i="3"/>
  <c r="T136" i="3"/>
  <c r="N137" i="3"/>
  <c r="L134" i="3"/>
  <c r="X141" i="3"/>
  <c r="X146" i="3"/>
  <c r="W144" i="3"/>
  <c r="R165" i="3"/>
  <c r="N168" i="3"/>
  <c r="R168" i="3" s="1"/>
  <c r="L164" i="3"/>
  <c r="T173" i="3"/>
  <c r="X173" i="3"/>
  <c r="V173" i="3"/>
  <c r="T178" i="3"/>
  <c r="X178" i="3"/>
  <c r="V178" i="3"/>
  <c r="V186" i="3"/>
  <c r="R192" i="3"/>
  <c r="N191" i="3"/>
  <c r="V196" i="3"/>
  <c r="V203" i="3"/>
  <c r="V242" i="3"/>
  <c r="T242" i="3"/>
  <c r="X242" i="3"/>
  <c r="K301" i="3"/>
  <c r="O301" i="3"/>
  <c r="V119" i="3"/>
  <c r="X142" i="3"/>
  <c r="X148" i="3"/>
  <c r="X152" i="3"/>
  <c r="R154" i="3"/>
  <c r="V154" i="3" s="1"/>
  <c r="X160" i="3"/>
  <c r="X166" i="3"/>
  <c r="S170" i="3"/>
  <c r="X172" i="3"/>
  <c r="V181" i="3"/>
  <c r="N188" i="3"/>
  <c r="N202" i="3"/>
  <c r="N210" i="3"/>
  <c r="R210" i="3" s="1"/>
  <c r="R208" i="3" s="1"/>
  <c r="R219" i="3"/>
  <c r="T219" i="3" s="1"/>
  <c r="X221" i="3"/>
  <c r="T221" i="3"/>
  <c r="N233" i="3"/>
  <c r="R233" i="3" s="1"/>
  <c r="L227" i="3"/>
  <c r="T234" i="3"/>
  <c r="X234" i="3"/>
  <c r="V234" i="3"/>
  <c r="V240" i="3"/>
  <c r="T240" i="3"/>
  <c r="T249" i="3"/>
  <c r="X249" i="3"/>
  <c r="V249" i="3"/>
  <c r="R253" i="3"/>
  <c r="N252" i="3"/>
  <c r="X264" i="3"/>
  <c r="T264" i="3"/>
  <c r="T265" i="3"/>
  <c r="S263" i="3"/>
  <c r="V268" i="3"/>
  <c r="V273" i="3"/>
  <c r="R272" i="3"/>
  <c r="T272" i="3" s="1"/>
  <c r="R276" i="3"/>
  <c r="N275" i="3"/>
  <c r="N212" i="3"/>
  <c r="R213" i="3"/>
  <c r="X214" i="3"/>
  <c r="T225" i="3"/>
  <c r="S223" i="3"/>
  <c r="X231" i="3"/>
  <c r="V235" i="3"/>
  <c r="X235" i="3"/>
  <c r="V236" i="3"/>
  <c r="T236" i="3"/>
  <c r="X238" i="3"/>
  <c r="X250" i="3"/>
  <c r="T250" i="3"/>
  <c r="R260" i="3"/>
  <c r="N259" i="3"/>
  <c r="T266" i="3"/>
  <c r="T268" i="3"/>
  <c r="T214" i="3"/>
  <c r="R217" i="3"/>
  <c r="N216" i="3"/>
  <c r="V221" i="3"/>
  <c r="X225" i="3"/>
  <c r="W223" i="3"/>
  <c r="R228" i="3"/>
  <c r="N227" i="3"/>
  <c r="T232" i="3"/>
  <c r="X232" i="3"/>
  <c r="V232" i="3"/>
  <c r="T235" i="3"/>
  <c r="T239" i="3"/>
  <c r="X239" i="3"/>
  <c r="V239" i="3"/>
  <c r="T238" i="3"/>
  <c r="V256" i="3"/>
  <c r="T270" i="3"/>
  <c r="X273" i="3"/>
  <c r="W272" i="3"/>
  <c r="X276" i="3"/>
  <c r="W275" i="3"/>
  <c r="X220" i="3"/>
  <c r="R223" i="3"/>
  <c r="V223" i="3" s="1"/>
  <c r="X230" i="3"/>
  <c r="X243" i="3"/>
  <c r="R245" i="3"/>
  <c r="X247" i="3"/>
  <c r="X254" i="3"/>
  <c r="X261" i="3"/>
  <c r="R283" i="3"/>
  <c r="R282" i="3" s="1"/>
  <c r="X282" i="3" s="1"/>
  <c r="N282" i="3"/>
  <c r="V288" i="3"/>
  <c r="X288" i="3"/>
  <c r="V300" i="3"/>
  <c r="R299" i="3"/>
  <c r="V299" i="3" s="1"/>
  <c r="X300" i="3"/>
  <c r="T282" i="3"/>
  <c r="T283" i="3"/>
  <c r="R286" i="3"/>
  <c r="N285" i="3"/>
  <c r="T273" i="3"/>
  <c r="U275" i="3"/>
  <c r="V277" i="3"/>
  <c r="R280" i="3"/>
  <c r="R279" i="3" s="1"/>
  <c r="T279" i="3" s="1"/>
  <c r="N279" i="3"/>
  <c r="X283" i="3"/>
  <c r="R294" i="3"/>
  <c r="N293" i="3"/>
  <c r="T291" i="3"/>
  <c r="N299" i="3"/>
  <c r="V206" i="3" l="1"/>
  <c r="X206" i="3"/>
  <c r="R205" i="3"/>
  <c r="T206" i="3"/>
  <c r="X199" i="3"/>
  <c r="T69" i="3"/>
  <c r="L301" i="3"/>
  <c r="V124" i="3"/>
  <c r="V46" i="3"/>
  <c r="T46" i="3"/>
  <c r="T125" i="3"/>
  <c r="V125" i="3"/>
  <c r="T263" i="3"/>
  <c r="T72" i="3"/>
  <c r="Q303" i="3"/>
  <c r="X299" i="3"/>
  <c r="V266" i="3"/>
  <c r="T199" i="3"/>
  <c r="V185" i="3"/>
  <c r="N195" i="3"/>
  <c r="N158" i="3"/>
  <c r="V280" i="3"/>
  <c r="X266" i="3"/>
  <c r="T223" i="3"/>
  <c r="N164" i="3"/>
  <c r="T154" i="3"/>
  <c r="V282" i="3"/>
  <c r="T90" i="3"/>
  <c r="R68" i="3"/>
  <c r="X68" i="3" s="1"/>
  <c r="X69" i="3"/>
  <c r="X72" i="3"/>
  <c r="X78" i="3"/>
  <c r="V87" i="3"/>
  <c r="V41" i="3"/>
  <c r="X41" i="3"/>
  <c r="T186" i="3"/>
  <c r="X186" i="3"/>
  <c r="R30" i="3"/>
  <c r="T32" i="3"/>
  <c r="V32" i="3"/>
  <c r="V219" i="3"/>
  <c r="N144" i="3"/>
  <c r="R147" i="3"/>
  <c r="T87" i="3"/>
  <c r="X290" i="3"/>
  <c r="W301" i="3"/>
  <c r="W303" i="3" s="1"/>
  <c r="U95" i="3"/>
  <c r="X208" i="3"/>
  <c r="T208" i="3"/>
  <c r="V208" i="3"/>
  <c r="V272" i="3"/>
  <c r="X202" i="3"/>
  <c r="T202" i="3"/>
  <c r="V174" i="3"/>
  <c r="X174" i="3"/>
  <c r="T174" i="3"/>
  <c r="T13" i="3"/>
  <c r="R293" i="3"/>
  <c r="V294" i="3"/>
  <c r="T294" i="3"/>
  <c r="X294" i="3"/>
  <c r="T299" i="3"/>
  <c r="X223" i="3"/>
  <c r="V279" i="3"/>
  <c r="R191" i="3"/>
  <c r="V192" i="3"/>
  <c r="T192" i="3"/>
  <c r="X192" i="3"/>
  <c r="R137" i="3"/>
  <c r="N134" i="3"/>
  <c r="T128" i="3"/>
  <c r="V202" i="3"/>
  <c r="T150" i="3"/>
  <c r="X150" i="3"/>
  <c r="X296" i="3"/>
  <c r="T296" i="3"/>
  <c r="V296" i="3"/>
  <c r="X280" i="3"/>
  <c r="X171" i="3"/>
  <c r="R170" i="3"/>
  <c r="T170" i="3" s="1"/>
  <c r="T171" i="3"/>
  <c r="V171" i="3"/>
  <c r="X154" i="3"/>
  <c r="R139" i="3"/>
  <c r="V140" i="3"/>
  <c r="T140" i="3"/>
  <c r="X140" i="3"/>
  <c r="X263" i="3"/>
  <c r="R39" i="3"/>
  <c r="X40" i="3"/>
  <c r="T40" i="3"/>
  <c r="T116" i="3"/>
  <c r="V116" i="3"/>
  <c r="X116" i="3"/>
  <c r="R115" i="3"/>
  <c r="N95" i="3"/>
  <c r="V68" i="3"/>
  <c r="X128" i="3"/>
  <c r="X25" i="3"/>
  <c r="R212" i="3"/>
  <c r="X212" i="3" s="1"/>
  <c r="V213" i="3"/>
  <c r="X233" i="3"/>
  <c r="T233" i="3"/>
  <c r="V233" i="3"/>
  <c r="T213" i="3"/>
  <c r="T280" i="3"/>
  <c r="T245" i="3"/>
  <c r="X245" i="3"/>
  <c r="X272" i="3"/>
  <c r="R216" i="3"/>
  <c r="X217" i="3"/>
  <c r="T217" i="3"/>
  <c r="R275" i="3"/>
  <c r="T275" i="3" s="1"/>
  <c r="T276" i="3"/>
  <c r="X168" i="3"/>
  <c r="T168" i="3"/>
  <c r="V168" i="3"/>
  <c r="U301" i="3"/>
  <c r="X256" i="3"/>
  <c r="T256" i="3"/>
  <c r="R195" i="3"/>
  <c r="X196" i="3"/>
  <c r="T196" i="3"/>
  <c r="X162" i="3"/>
  <c r="T162" i="3"/>
  <c r="V162" i="3"/>
  <c r="V283" i="3"/>
  <c r="N208" i="3"/>
  <c r="X182" i="3"/>
  <c r="T182" i="3"/>
  <c r="R180" i="3"/>
  <c r="V182" i="3"/>
  <c r="X17" i="3"/>
  <c r="X13" i="3"/>
  <c r="T15" i="3"/>
  <c r="X15" i="3"/>
  <c r="V15" i="3"/>
  <c r="X124" i="3"/>
  <c r="P303" i="3"/>
  <c r="R61" i="3"/>
  <c r="T62" i="3"/>
  <c r="X62" i="3"/>
  <c r="T53" i="3"/>
  <c r="V53" i="3"/>
  <c r="R52" i="3"/>
  <c r="X53" i="3"/>
  <c r="S301" i="3"/>
  <c r="L303" i="3"/>
  <c r="R44" i="3"/>
  <c r="T45" i="3"/>
  <c r="X45" i="3"/>
  <c r="X49" i="3"/>
  <c r="T49" i="3"/>
  <c r="R48" i="3"/>
  <c r="V49" i="3"/>
  <c r="V13" i="3"/>
  <c r="R285" i="3"/>
  <c r="V286" i="3"/>
  <c r="X286" i="3"/>
  <c r="T286" i="3"/>
  <c r="V276" i="3"/>
  <c r="X275" i="3"/>
  <c r="R227" i="3"/>
  <c r="V228" i="3"/>
  <c r="T228" i="3"/>
  <c r="X228" i="3"/>
  <c r="X219" i="3"/>
  <c r="R259" i="3"/>
  <c r="V260" i="3"/>
  <c r="T260" i="3"/>
  <c r="X260" i="3"/>
  <c r="V217" i="3"/>
  <c r="R252" i="3"/>
  <c r="V253" i="3"/>
  <c r="T253" i="3"/>
  <c r="X253" i="3"/>
  <c r="V245" i="3"/>
  <c r="X210" i="3"/>
  <c r="V210" i="3"/>
  <c r="T210" i="3"/>
  <c r="X165" i="3"/>
  <c r="R164" i="3"/>
  <c r="T165" i="3"/>
  <c r="V165" i="3"/>
  <c r="T103" i="3"/>
  <c r="R93" i="3"/>
  <c r="X94" i="3"/>
  <c r="T94" i="3"/>
  <c r="X103" i="3"/>
  <c r="T197" i="3"/>
  <c r="X197" i="3"/>
  <c r="X159" i="3"/>
  <c r="R158" i="3"/>
  <c r="T159" i="3"/>
  <c r="V159" i="3"/>
  <c r="X279" i="3"/>
  <c r="X213" i="3"/>
  <c r="X188" i="3"/>
  <c r="T188" i="3"/>
  <c r="R184" i="3"/>
  <c r="T185" i="3"/>
  <c r="N170" i="3"/>
  <c r="R97" i="3"/>
  <c r="T98" i="3"/>
  <c r="V98" i="3"/>
  <c r="X98" i="3"/>
  <c r="T108" i="3"/>
  <c r="V108" i="3"/>
  <c r="X108" i="3"/>
  <c r="R107" i="3"/>
  <c r="R34" i="3"/>
  <c r="T35" i="3"/>
  <c r="X35" i="3"/>
  <c r="X58" i="3"/>
  <c r="T58" i="3"/>
  <c r="T17" i="3"/>
  <c r="T66" i="3"/>
  <c r="V66" i="3"/>
  <c r="R65" i="3"/>
  <c r="X66" i="3"/>
  <c r="T132" i="3"/>
  <c r="X132" i="3"/>
  <c r="O303" i="3"/>
  <c r="S95" i="3"/>
  <c r="X147" i="3" l="1"/>
  <c r="R144" i="3"/>
  <c r="V147" i="3"/>
  <c r="T147" i="3"/>
  <c r="N301" i="3"/>
  <c r="X30" i="3"/>
  <c r="T30" i="3"/>
  <c r="V30" i="3"/>
  <c r="X205" i="3"/>
  <c r="V205" i="3"/>
  <c r="T205" i="3"/>
  <c r="T68" i="3"/>
  <c r="U303" i="3"/>
  <c r="X65" i="3"/>
  <c r="T65" i="3"/>
  <c r="V65" i="3"/>
  <c r="X227" i="3"/>
  <c r="T227" i="3"/>
  <c r="V227" i="3"/>
  <c r="V195" i="3"/>
  <c r="X195" i="3"/>
  <c r="T195" i="3"/>
  <c r="T34" i="3"/>
  <c r="X34" i="3"/>
  <c r="V34" i="3"/>
  <c r="X97" i="3"/>
  <c r="V97" i="3"/>
  <c r="X158" i="3"/>
  <c r="T158" i="3"/>
  <c r="V158" i="3"/>
  <c r="X259" i="3"/>
  <c r="T259" i="3"/>
  <c r="V259" i="3"/>
  <c r="V275" i="3"/>
  <c r="T44" i="3"/>
  <c r="X44" i="3"/>
  <c r="V44" i="3"/>
  <c r="T97" i="3"/>
  <c r="T107" i="3"/>
  <c r="V107" i="3"/>
  <c r="X107" i="3"/>
  <c r="X184" i="3"/>
  <c r="T184" i="3"/>
  <c r="V184" i="3"/>
  <c r="V52" i="3"/>
  <c r="X52" i="3"/>
  <c r="T52" i="3"/>
  <c r="T212" i="3"/>
  <c r="V212" i="3"/>
  <c r="X293" i="3"/>
  <c r="T293" i="3"/>
  <c r="V293" i="3"/>
  <c r="S303" i="3"/>
  <c r="T93" i="3"/>
  <c r="X93" i="3"/>
  <c r="V93" i="3"/>
  <c r="X164" i="3"/>
  <c r="T164" i="3"/>
  <c r="V164" i="3"/>
  <c r="X61" i="3"/>
  <c r="V61" i="3"/>
  <c r="T61" i="3"/>
  <c r="X216" i="3"/>
  <c r="T216" i="3"/>
  <c r="V216" i="3"/>
  <c r="T115" i="3"/>
  <c r="V115" i="3"/>
  <c r="X115" i="3"/>
  <c r="T39" i="3"/>
  <c r="X39" i="3"/>
  <c r="V39" i="3"/>
  <c r="N303" i="3"/>
  <c r="X252" i="3"/>
  <c r="T252" i="3"/>
  <c r="V252" i="3"/>
  <c r="V285" i="3"/>
  <c r="T285" i="3"/>
  <c r="X285" i="3"/>
  <c r="X48" i="3"/>
  <c r="T48" i="3"/>
  <c r="V48" i="3"/>
  <c r="V180" i="3"/>
  <c r="T180" i="3"/>
  <c r="X180" i="3"/>
  <c r="X139" i="3"/>
  <c r="T139" i="3"/>
  <c r="V139" i="3"/>
  <c r="X170" i="3"/>
  <c r="V170" i="3"/>
  <c r="X137" i="3"/>
  <c r="T137" i="3"/>
  <c r="V137" i="3"/>
  <c r="R134" i="3"/>
  <c r="X191" i="3"/>
  <c r="T191" i="3"/>
  <c r="V191" i="3"/>
  <c r="R95" i="3"/>
  <c r="T95" i="3" s="1"/>
  <c r="R301" i="3" l="1"/>
  <c r="V301" i="3" s="1"/>
  <c r="V144" i="3"/>
  <c r="X144" i="3"/>
  <c r="T144" i="3"/>
  <c r="V95" i="3"/>
  <c r="X95" i="3"/>
  <c r="X134" i="3"/>
  <c r="T134" i="3"/>
  <c r="V134" i="3"/>
  <c r="X301" i="3" l="1"/>
  <c r="R303" i="3"/>
  <c r="X303" i="3" s="1"/>
  <c r="T301" i="3"/>
  <c r="T303" i="3"/>
  <c r="V303" i="3" l="1"/>
</calcChain>
</file>

<file path=xl/sharedStrings.xml><?xml version="1.0" encoding="utf-8"?>
<sst xmlns="http://schemas.openxmlformats.org/spreadsheetml/2006/main" count="1625" uniqueCount="283">
  <si>
    <t>PODER JUDICIÁRIO</t>
  </si>
  <si>
    <t>Orgão: 04 - Tribunal de Justiça do Estado do Pará</t>
  </si>
  <si>
    <t>Unidade Orçamentária: 04101 - Tribunal de Justiça do Estado</t>
  </si>
  <si>
    <t xml:space="preserve">                                          04102 - Fundo de Reaparelhamento do Poder Judiciário</t>
  </si>
  <si>
    <t>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</si>
  <si>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</si>
  <si>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</si>
  <si>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</si>
  <si>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</si>
  <si>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</si>
  <si>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</si>
  <si>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</si>
  <si>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</si>
  <si>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</si>
  <si>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</si>
  <si>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</si>
  <si>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</si>
  <si>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</si>
  <si>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</si>
  <si>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</si>
  <si>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</si>
  <si>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</si>
  <si>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</si>
  <si>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</si>
  <si>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</si>
  <si>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</si>
  <si>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</si>
  <si>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</si>
  <si>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</si>
  <si>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</si>
  <si>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</si>
  <si>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</si>
  <si>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</si>
  <si>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</si>
  <si>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</si>
  <si>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</si>
  <si>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</si>
  <si>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</si>
  <si>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</si>
  <si>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</si>
  <si>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</si>
  <si>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</si>
  <si>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</si>
  <si>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</si>
  <si>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</si>
  <si>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040101</t>
  </si>
  <si>
    <t xml:space="preserve">Tribunal de Justiça do Estado </t>
  </si>
  <si>
    <t xml:space="preserve">Atuação Jurisdicional </t>
  </si>
  <si>
    <t>02 / 061</t>
  </si>
  <si>
    <t>0101</t>
  </si>
  <si>
    <t>Recursos Ordinários</t>
  </si>
  <si>
    <t>1417 / 8176</t>
  </si>
  <si>
    <t>Implementação do Programa de Segurança e Acesso aos Prédio do Poder Judiciário - 1º Grau</t>
  </si>
  <si>
    <t>Implem. do Programa de Seg. e Acesso aos Prédio do Poder Judiciário - 1º Grau</t>
  </si>
  <si>
    <t>1417 / 8178</t>
  </si>
  <si>
    <t>Implementação do Programa de Segurança e Acesso aos Prédio do Poder Judiciário - Apoio Indireto à Atividade Judicante</t>
  </si>
  <si>
    <t>Implem. do Programa de Seg. e Acesso aos Prédio do Poder Judiciário - Apoio</t>
  </si>
  <si>
    <t>1417 / 8726</t>
  </si>
  <si>
    <t>Implementação do Registro Civil pelos Ofícios de Cidadania</t>
  </si>
  <si>
    <t>0128</t>
  </si>
  <si>
    <t>Rec. Próp. do Fundo de Apoio ao Reg. Civil do Estado Pará</t>
  </si>
  <si>
    <t>1421 / 6853</t>
  </si>
  <si>
    <t>Manutenção da Gestão do Poder Judiciário</t>
  </si>
  <si>
    <t>Administração de Recursos Humanos dos Servidores do Poder Judiciário - 1º Grau</t>
  </si>
  <si>
    <t>02 / 122</t>
  </si>
  <si>
    <t>0112</t>
  </si>
  <si>
    <t>Receita Patrimonial - Outros Poderes</t>
  </si>
  <si>
    <t>1421 / 6854</t>
  </si>
  <si>
    <t>Administração de Recursos Humanos dos Servidores do Poder Judiciário - 2º Grau</t>
  </si>
  <si>
    <t>1421 / 6855</t>
  </si>
  <si>
    <t>Administração de Recursos Humanos dos Servidores do Poder Judiciário - Apoio Indireto à Atividade Judicante</t>
  </si>
  <si>
    <t>Administração de Recursos Humanos dos Servidores do Poder Judiciário. - Apoio</t>
  </si>
  <si>
    <t>1421 / 8189</t>
  </si>
  <si>
    <t>Administração de Recursos Humanos da Magistratura – 1º Grau</t>
  </si>
  <si>
    <t>1421 / 8190</t>
  </si>
  <si>
    <t>Administração de Recursos Humanos da Magistratura - 2º Grau</t>
  </si>
  <si>
    <t>1421 / 8191</t>
  </si>
  <si>
    <t>Administração de Recursos Humanos dos Magistrados e Servidores do Poder Judiciário - Justiça Militar</t>
  </si>
  <si>
    <t>Administ. de Rec. Humanos dos Magist. e Servid. do Poder Judic.-Justiça Militar</t>
  </si>
  <si>
    <t>1421 / 8195</t>
  </si>
  <si>
    <t>Operacionalização das Ações Administrativas do Poder judiciário  Apoio Indireto à Atividade Judicante</t>
  </si>
  <si>
    <t xml:space="preserve">Operacionalização das Ações Administrativas do Poder Judiciário  Apoio </t>
  </si>
  <si>
    <t>1421 / 8598</t>
  </si>
  <si>
    <t>Pagamento de Obrigações Patronais dos Servidores Inativos e Pensionistas do Poder Judiciário Estadual</t>
  </si>
  <si>
    <t xml:space="preserve">Pag. de Obrig. Patronais dos Serv. Inativos e Pensionistas do Poder Judiciário Estadual </t>
  </si>
  <si>
    <t>1421 / 8719</t>
  </si>
  <si>
    <t>Pagamento de Obrigações Patronais dos Magistrados Inativos e Pensionistas do Poder Judiciário Estadual</t>
  </si>
  <si>
    <t xml:space="preserve">Pag. de Obrig. Patronais dos Mag. Inativos e Pensionistas do Poder Judiciário Estadual </t>
  </si>
  <si>
    <t>1421 / 6844</t>
  </si>
  <si>
    <t>Contribuição do Poder Judiciário ao Plano de Assistência à Saúde - 1º Grau</t>
  </si>
  <si>
    <t>02 / 302</t>
  </si>
  <si>
    <t>Contribuição do Poder Judic. ao Plano de Assistência à Saúde - 1º Grau</t>
  </si>
  <si>
    <t>1421 / 6846</t>
  </si>
  <si>
    <t>Contribuição do Poder Judiciário ao Plano de Assistência à Saúde – Apoio Indireto à Atividade Judicante</t>
  </si>
  <si>
    <t>Contribuição do Poder Judic. ao Plano de Assistência à Saúde – Apoio</t>
  </si>
  <si>
    <t>1421 / 6847</t>
  </si>
  <si>
    <t>Concessão de Auxílio Alimentação aos Servidores - 1º Grau</t>
  </si>
  <si>
    <t>02 / 331</t>
  </si>
  <si>
    <t>1421 / 6848</t>
  </si>
  <si>
    <t>Concessão de Auxílio Alimentação aos Servidores - 2º Grau</t>
  </si>
  <si>
    <t>1421 / 6849</t>
  </si>
  <si>
    <t>Concessão de Auxílio Alimentação - Apoio Indireto à Atividade Judicante</t>
  </si>
  <si>
    <t>1421 / 6850</t>
  </si>
  <si>
    <t>Concessão de Auxílio Transporte - 1º Grau</t>
  </si>
  <si>
    <t>1421 / 6851</t>
  </si>
  <si>
    <t>Concessão de Auxílio Transporte - 2º Grau</t>
  </si>
  <si>
    <t>1421 / 6852</t>
  </si>
  <si>
    <t>Concessão de Auxílio Transporte - Apoio Indireto à Atividade Judicante</t>
  </si>
  <si>
    <t>1421 / 8717</t>
  </si>
  <si>
    <t>Concessão de Auxílio Alimentação aos Magistrados - 1º Grau</t>
  </si>
  <si>
    <t>1421 / 8718</t>
  </si>
  <si>
    <t>Concessão de Auxílio Alimentação aos Magistrados - 2º Grau</t>
  </si>
  <si>
    <t xml:space="preserve">Total - Unidade Orçamentária 040101 </t>
  </si>
  <si>
    <t>040102</t>
  </si>
  <si>
    <t xml:space="preserve">Fundo de Reaparelh. do Poder Judiciário </t>
  </si>
  <si>
    <t>0118</t>
  </si>
  <si>
    <t>Rec. Próp. Fundo Reaparelhamento do  Judiciário - FRJ</t>
  </si>
  <si>
    <t>1417 / 7639</t>
  </si>
  <si>
    <t>Ampliação da Infraestrutura Física do Poder Judiciário - 1º Grau</t>
  </si>
  <si>
    <t>1417 / 7640</t>
  </si>
  <si>
    <t>Ampliação da Infraestrutura Física do Poder Judiciário - 2º Grau</t>
  </si>
  <si>
    <t>1417 / 7641</t>
  </si>
  <si>
    <t>Ampliação da Infraestrutura Física do Poder Judiciário - Apoio Indireto à Atividade Judicante</t>
  </si>
  <si>
    <t xml:space="preserve">Ampliação da Infraestrutura Física do Poder Judiciário - Apoio </t>
  </si>
  <si>
    <t>1417 / 7651</t>
  </si>
  <si>
    <t>Modernização do Sistema de Precatórios</t>
  </si>
  <si>
    <t>1417 / 8626</t>
  </si>
  <si>
    <t>Operacionalização das Ações Voltadas à Criança e ao Adolescente</t>
  </si>
  <si>
    <t>1417 / 8628</t>
  </si>
  <si>
    <t>Implementação das Ações da Corregedoria das Comarcas da RMB e Interior</t>
  </si>
  <si>
    <t>Implementação das Ações da Corregedorias das Comarcas da RMB e Interior</t>
  </si>
  <si>
    <t>1417 / 8631</t>
  </si>
  <si>
    <t>Implementação das Ações da Justiça Criminal</t>
  </si>
  <si>
    <t>1417 / 8642</t>
  </si>
  <si>
    <t>Implementação de Ações da Área Socioambiental</t>
  </si>
  <si>
    <t>1417 / 8644</t>
  </si>
  <si>
    <t>Reforma e Manutenção de Prédios do Poder Judiciário - 1º Grau</t>
  </si>
  <si>
    <t>4</t>
  </si>
  <si>
    <t>1417 / 8645</t>
  </si>
  <si>
    <t>Reforma e Manutenção de Prédios do Poder Judiciário - 2º Grau</t>
  </si>
  <si>
    <t>Rec. Próp Fundo Reaparelhamento do  Judiciário - FRJ</t>
  </si>
  <si>
    <t>1417 / 8646</t>
  </si>
  <si>
    <t>Reforma e Manutenção de Prédios do Poder Judiciário - Apoio Indireto  à Atividade Judicante</t>
  </si>
  <si>
    <t>Reforma e Manutenção de Prédios do Poder Judiciário - Apoio</t>
  </si>
  <si>
    <t>1417 / 8647</t>
  </si>
  <si>
    <t>Implem. do Programa de Segurança e Acesso aos Préd. do Poder Jud. - 1º Grau</t>
  </si>
  <si>
    <t>1419 / 8647</t>
  </si>
  <si>
    <t>Infraestrutura e Gestão de TIC</t>
  </si>
  <si>
    <t>1417 / 8648</t>
  </si>
  <si>
    <t>Implementação do Programa de Segurança e Acesso aos Prédio do Poder Judiciário - 2º Grau</t>
  </si>
  <si>
    <t>Implem. do Programa de Segurança e Acesso aos Préd. do Poder Jud. - 2º Grau</t>
  </si>
  <si>
    <t>Implem. do Programa de Segurança e Acesso aos Préd. do Poder Jud.. - 2º Grau</t>
  </si>
  <si>
    <t>1417 / 8649</t>
  </si>
  <si>
    <t xml:space="preserve">Implem. do Programa de Segurança e Acesso aos Préd. do Poder Jud. - Apoio </t>
  </si>
  <si>
    <t>1417 / 8654</t>
  </si>
  <si>
    <t>Aparelhamento das Unidades Judiciárias - 1º Grau</t>
  </si>
  <si>
    <t>0123</t>
  </si>
  <si>
    <t>Recursos Provenientes de Alienação de Bens</t>
  </si>
  <si>
    <t>1417 / 8655</t>
  </si>
  <si>
    <t>Aparelhamento das Unidades Judiciárias - 2º Grau</t>
  </si>
  <si>
    <t>1417 / 8656</t>
  </si>
  <si>
    <t>Aparelhamento das Unidades Judiciárias - Apoio Indireto  à Atividade Judicante</t>
  </si>
  <si>
    <t>Aparelhamento das Unidades Judiciárias - Apoio Indireto  à Ativ. Judicante</t>
  </si>
  <si>
    <t>1417 / 8720</t>
  </si>
  <si>
    <t>Promoção de Ações para Resolução de Conflitos</t>
  </si>
  <si>
    <t>1417 / 8725</t>
  </si>
  <si>
    <t>Otimização da Gestão da Informação e Memória do Poder Judiciário</t>
  </si>
  <si>
    <t>1417 / 8727</t>
  </si>
  <si>
    <t>Promoção de Ações de Cidadania e Direitos</t>
  </si>
  <si>
    <t>1417 / 8722</t>
  </si>
  <si>
    <t>Promoção da Política de Saúde de Magistrados e Servidores</t>
  </si>
  <si>
    <t>1417 / 8723</t>
  </si>
  <si>
    <t xml:space="preserve">Fortalecimento da Gestão das Unidades Administrativas e Judiciais </t>
  </si>
  <si>
    <t>1421 / 8659</t>
  </si>
  <si>
    <t>Operacionalização das Ações Administrativas do Poder Judiciário - 1º Grau</t>
  </si>
  <si>
    <t>1421 / 8666</t>
  </si>
  <si>
    <t>1421 / 8667</t>
  </si>
  <si>
    <t>Administração de Recursos Humanos dos Servidores  do Poder Judiciário - 2º Grau</t>
  </si>
  <si>
    <t>1421 / 8668</t>
  </si>
  <si>
    <t>Administração de Recursos Humanos dos Servidores do Poder Judiciário - Apoio</t>
  </si>
  <si>
    <t>1421 / 8669</t>
  </si>
  <si>
    <t xml:space="preserve">Operacionalização das Ações Administrativas do Poder Judiciário - 2º Grau </t>
  </si>
  <si>
    <t>1421 / 8670</t>
  </si>
  <si>
    <t>Operacionalização das Ações Administrativas do Poder Judiciário - Apoio</t>
  </si>
  <si>
    <t>1421 / 8684</t>
  </si>
  <si>
    <t>Administ. de Rec. Humanos dos Magist. e Servid. do Poder Judic. - Justiça Militar</t>
  </si>
  <si>
    <t>1421 / 8685</t>
  </si>
  <si>
    <t>Operacionalização das Ações Administrativas da Justiça Militar</t>
  </si>
  <si>
    <t>1421 / 8716</t>
  </si>
  <si>
    <t>Operacionalização das Ações Administrativas da Escola Judicial - EJ</t>
  </si>
  <si>
    <t>1417 / 8651</t>
  </si>
  <si>
    <t>Atualização, Expansão e Manutenção da Infraestrura de Tecnologia do Poder Judiciário - 1º Grau</t>
  </si>
  <si>
    <t>02 / 126</t>
  </si>
  <si>
    <t xml:space="preserve">Atualiz., Exp. e Manut. da Infraest. de Tecnologia do Poder Judiário - 1º Grau </t>
  </si>
  <si>
    <t>1417 / 8652</t>
  </si>
  <si>
    <t>Atualização, Expansão e Manutenção da Infraestrura de Tecnologia do Poder Judiciário - 2º Grau</t>
  </si>
  <si>
    <t xml:space="preserve">Atualiz., Exp. e Manut. da Infraest. de Tecnologia do Poder Judiário - 2º Grau </t>
  </si>
  <si>
    <t>1417 / 8653</t>
  </si>
  <si>
    <t>Atualização, Expansão e Manutenção da Infraestrura de Tecnologia do Poder Judiciário - Apoio Indireto à Atividade Judicante</t>
  </si>
  <si>
    <t>Atualiz., Exp. e Manut. da Infraest. de Tecnologia do Poder Judiário - Apoio</t>
  </si>
  <si>
    <t>02 / 128</t>
  </si>
  <si>
    <t>1417 / 8165</t>
  </si>
  <si>
    <t>Capacitação de Magistrados e Servidores  - 2º Grau</t>
  </si>
  <si>
    <t>1417 / 8721</t>
  </si>
  <si>
    <t>Capacitação de Servidores - Apoio Indireto à Atividade Judicante</t>
  </si>
  <si>
    <t>1417 / 8724</t>
  </si>
  <si>
    <t>Participação em Eventos Institucionais</t>
  </si>
  <si>
    <t>0106</t>
  </si>
  <si>
    <t>Recursos Proven. de Transferências - Convênios e Outros</t>
  </si>
  <si>
    <t>1417 / 8639</t>
  </si>
  <si>
    <t>Fiscalização das Receitas do Fundo de Reaparelhamento do Judiciário - FRJ (FRJ)</t>
  </si>
  <si>
    <t>02 / 129</t>
  </si>
  <si>
    <t>Fiscalização das Receitas do Fundo de Reaparelhamento do Judiciário (FRJ)</t>
  </si>
  <si>
    <t>1417 / 8632</t>
  </si>
  <si>
    <t>Implementação das Ações de Comunicação e Publicidade</t>
  </si>
  <si>
    <t>02 / 131</t>
  </si>
  <si>
    <t>1421 / 8660</t>
  </si>
  <si>
    <t>Contrib. do Poder Judiciário ao Plano de Assistência à Saúde - 1º Grau</t>
  </si>
  <si>
    <t>1421 / 8661</t>
  </si>
  <si>
    <t>Contribuição do Poder Judiciário ao Plano de Assistência à Saúde - 2º Grau</t>
  </si>
  <si>
    <t>Contrib. do Poder Judiciário ao Plano de Assistência à Saúde - 2º Grau</t>
  </si>
  <si>
    <t>1421 / 8662</t>
  </si>
  <si>
    <t xml:space="preserve">Contribuição do Poder Judiciário ao Plano de Assistência à Saúde – Apoio Indireto à Atividade Judicante </t>
  </si>
  <si>
    <t>Contrib. do Poder Judiciário ao Plano de Assistência à Saúde – Apoio</t>
  </si>
  <si>
    <t>1421 / 8657</t>
  </si>
  <si>
    <t>Assistência  Médica e Odontológica</t>
  </si>
  <si>
    <t>1421 / 8663</t>
  </si>
  <si>
    <t>1421 / 8664</t>
  </si>
  <si>
    <t>1421 / 8665</t>
  </si>
  <si>
    <t>1421 / 8735</t>
  </si>
  <si>
    <t>Total - Unidade Orçamentária 040102</t>
  </si>
  <si>
    <t>Total Geral do Tribunal de Justiça</t>
  </si>
  <si>
    <t>Fonte: SIAFEM</t>
  </si>
  <si>
    <t>Legendas:</t>
  </si>
  <si>
    <t>Movimentação Líquida de Créditos: (-) Provisão Concedidas (coluna Provisão) e os Destaques Concedidos (coluna Destaque)</t>
  </si>
  <si>
    <t>Classificação Funcional: busca responder à indagação "em que" área de ação governamental a despesa será realizada (Anexo da Portaria nº 42, de 14 de abril de 1999, publicada no DOU, de 15 de abril de 1999</t>
  </si>
  <si>
    <t>Função:</t>
  </si>
  <si>
    <t>02 - Judiciária</t>
  </si>
  <si>
    <t>Subfunção:</t>
  </si>
  <si>
    <t xml:space="preserve">061 - Ação Judiciária </t>
  </si>
  <si>
    <t>128 - Formação de Recursos Humanos</t>
  </si>
  <si>
    <t>302 - Assistência Hospitalar e Ambulatorial</t>
  </si>
  <si>
    <t xml:space="preserve">08 - Assistência Social
</t>
  </si>
  <si>
    <t>122 - Administração Geral</t>
  </si>
  <si>
    <t xml:space="preserve">129 - Administração de Receitas </t>
  </si>
  <si>
    <t>331 - Proteção e Benefícios ao Trabalhador</t>
  </si>
  <si>
    <t>126 - Tecnologia da Informação</t>
  </si>
  <si>
    <t>131 - Comunicação Social</t>
  </si>
  <si>
    <t>422 - Direitos Individuais, Coletivos e Difusos</t>
  </si>
  <si>
    <t>Esfera Orçamentária: A esfera orçamentária tem por finalidade identificar se o orçamento é fiscal, da seguridade social ou de investimentos das empresas estatais, conforme disposto no § 5º do art. 165 da Constituição.</t>
  </si>
  <si>
    <t>1 - Orçamento fiscal</t>
  </si>
  <si>
    <t>2 - Orçamento da Seguridade Social</t>
  </si>
  <si>
    <t>GND - Grupo de Natureza da Despesa: É um agregador de elementos de despesas com as mesmas características quanto ao objeto do gasto</t>
  </si>
  <si>
    <t>1 - Pessoal e Encargos Sociais</t>
  </si>
  <si>
    <t>3 - Outras Despesas Correntes</t>
  </si>
  <si>
    <t>4 - Investimentos</t>
  </si>
  <si>
    <t>5 - Inversões Financeiras</t>
  </si>
  <si>
    <t>Fonte: Classificação da Receita por Fonte de Recursos: Entende-se por fonte de recursos a origem ou a procedência dos recursos que devem ser gastos com uma determinada finalidade.</t>
  </si>
  <si>
    <t>0101 - Recursos Ordinários</t>
  </si>
  <si>
    <t>0112 - Receita Patrimonial - Outros Poderes</t>
  </si>
  <si>
    <t>0123 - Recursos Provenientes de Alienação de Bens</t>
  </si>
  <si>
    <t>0106 - Recursos Provenientes da Transferência - Convênios e Outros</t>
  </si>
  <si>
    <t>0118 - Recursos Próprios do Fundo de Reaparelhamento do Judiciário - FRJ</t>
  </si>
  <si>
    <t>0128 - Recursos Próprios do Fundo de Apoio ao Registro Civil do Estado</t>
  </si>
  <si>
    <t>Obs: Nas colunas relativas à execução, não incluir as despesas referentes aos restos a pagar do ano anterior.</t>
  </si>
  <si>
    <t>Contribuição do Poder Judic. ao Plano de Assistência à Saúde - 2º Grau</t>
  </si>
  <si>
    <t>1421 / 6845</t>
  </si>
  <si>
    <t>1417 / 8164</t>
  </si>
  <si>
    <t>Capacitação de Magistrados e Servidores  - 1º Grau</t>
  </si>
  <si>
    <t>0301</t>
  </si>
  <si>
    <t>Recursos Ordinários - Superávit Financeiro</t>
  </si>
  <si>
    <t>0306</t>
  </si>
  <si>
    <t>Rec. Proven. Transf. - Convênios e Outros - Superávit Financeiro</t>
  </si>
  <si>
    <t>0318</t>
  </si>
  <si>
    <t>Rec. Próp. Fundo Reapar.  Judic. - FRJ - Superávit Financeiro</t>
  </si>
  <si>
    <t>0312</t>
  </si>
  <si>
    <t>Receita Patrimonial - Outros Poderes - Superávit Financeiro</t>
  </si>
  <si>
    <t>0301 - Recursos Ordinários - Superávit Financeiro</t>
  </si>
  <si>
    <t>0306 - Recursos Provenientes da Transferência - Convênios e Outros - Superávit Financeiro</t>
  </si>
  <si>
    <t>0312 - Receita Patrimonial - Outros Poderes - Superávit Financeiro</t>
  </si>
  <si>
    <t>0318 - Recursos Próprios Fundo Reaparelhamento do Judiciário - FRJ - Superávit Financeiro</t>
  </si>
  <si>
    <t>Mês de Referência: Março de 2021</t>
  </si>
  <si>
    <t>Data de Publicação: 19/04/2021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</si>
</sst>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_(* #,##0.00_);_(* \(#,##0.00\);_(* &quot;-&quot;??_);_(@_)"/>
    <numFmt numFmtId="166" formatCode="0.0%"/>
  </numFmts>
  <fonts count="12" x14ac:knownFonts="1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4" fillId="0" borderId="0"/>
  </cellStyleXfs>
  <cellXfs count="227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 wrapText="1"/>
    </xf>
    <xf numFmtId="166" fontId="3" fillId="0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1" applyNumberFormat="1" applyFont="1" applyFill="1" applyBorder="1" applyAlignment="1">
      <alignment horizontal="center" vertical="center" wrapText="1"/>
    </xf>
    <xf numFmtId="166" fontId="3" fillId="2" borderId="17" xfId="1" applyNumberFormat="1" applyFont="1" applyFill="1" applyBorder="1" applyAlignment="1">
      <alignment horizontal="center" vertical="center" wrapText="1"/>
    </xf>
    <xf numFmtId="165" fontId="3" fillId="2" borderId="17" xfId="1" applyFont="1" applyFill="1" applyBorder="1" applyAlignment="1">
      <alignment horizontal="center" vertical="center" wrapText="1"/>
    </xf>
    <xf numFmtId="165" fontId="3" fillId="2" borderId="18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6" fillId="2" borderId="19" xfId="2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justify" wrapText="1"/>
    </xf>
    <xf numFmtId="49" fontId="6" fillId="2" borderId="19" xfId="2" applyNumberFormat="1" applyFont="1" applyFill="1" applyBorder="1" applyAlignment="1">
      <alignment horizontal="center" wrapText="1"/>
    </xf>
    <xf numFmtId="49" fontId="4" fillId="2" borderId="19" xfId="2" applyNumberFormat="1" applyFont="1" applyFill="1" applyBorder="1" applyAlignment="1">
      <alignment horizontal="center"/>
    </xf>
    <xf numFmtId="1" fontId="6" fillId="2" borderId="19" xfId="2" applyNumberFormat="1" applyFont="1" applyFill="1" applyBorder="1" applyAlignment="1">
      <alignment horizontal="justify" wrapText="1"/>
    </xf>
    <xf numFmtId="0" fontId="6" fillId="2" borderId="19" xfId="2" applyFont="1" applyFill="1" applyBorder="1" applyAlignment="1">
      <alignment horizontal="justify" wrapText="1"/>
    </xf>
    <xf numFmtId="0" fontId="6" fillId="2" borderId="19" xfId="2" applyFont="1" applyFill="1" applyBorder="1" applyAlignment="1">
      <alignment horizontal="center"/>
    </xf>
    <xf numFmtId="49" fontId="6" fillId="2" borderId="19" xfId="2" applyNumberFormat="1" applyFont="1" applyFill="1" applyBorder="1" applyAlignment="1">
      <alignment horizontal="justify" wrapText="1"/>
    </xf>
    <xf numFmtId="0" fontId="6" fillId="2" borderId="19" xfId="2" applyFont="1" applyFill="1" applyBorder="1" applyAlignment="1">
      <alignment horizontal="center" wrapText="1"/>
    </xf>
    <xf numFmtId="164" fontId="6" fillId="2" borderId="19" xfId="1" applyNumberFormat="1" applyFont="1" applyFill="1" applyBorder="1" applyAlignment="1"/>
    <xf numFmtId="164" fontId="6" fillId="2" borderId="0" xfId="1" applyNumberFormat="1" applyFont="1" applyFill="1" applyBorder="1" applyAlignment="1"/>
    <xf numFmtId="166" fontId="6" fillId="2" borderId="19" xfId="1" applyNumberFormat="1" applyFont="1" applyFill="1" applyBorder="1" applyAlignment="1">
      <alignment horizontal="center"/>
    </xf>
    <xf numFmtId="0" fontId="6" fillId="2" borderId="0" xfId="2" applyFont="1" applyFill="1" applyBorder="1" applyAlignment="1"/>
    <xf numFmtId="0" fontId="3" fillId="2" borderId="0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49" fontId="6" fillId="2" borderId="2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justify" wrapText="1"/>
    </xf>
    <xf numFmtId="49" fontId="6" fillId="2" borderId="12" xfId="0" applyNumberFormat="1" applyFont="1" applyFill="1" applyBorder="1" applyAlignment="1">
      <alignment horizontal="center" wrapText="1"/>
    </xf>
    <xf numFmtId="49" fontId="4" fillId="2" borderId="12" xfId="2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justify" wrapText="1"/>
    </xf>
    <xf numFmtId="0" fontId="6" fillId="2" borderId="12" xfId="0" applyFont="1" applyFill="1" applyBorder="1" applyAlignment="1">
      <alignment horizontal="justify" wrapText="1"/>
    </xf>
    <xf numFmtId="0" fontId="6" fillId="2" borderId="12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justify" wrapText="1"/>
    </xf>
    <xf numFmtId="0" fontId="6" fillId="2" borderId="12" xfId="0" applyFont="1" applyFill="1" applyBorder="1" applyAlignment="1">
      <alignment horizontal="center" wrapText="1"/>
    </xf>
    <xf numFmtId="164" fontId="6" fillId="2" borderId="12" xfId="1" applyNumberFormat="1" applyFont="1" applyFill="1" applyBorder="1" applyAlignment="1"/>
    <xf numFmtId="164" fontId="6" fillId="2" borderId="11" xfId="1" applyNumberFormat="1" applyFont="1" applyFill="1" applyBorder="1" applyAlignment="1"/>
    <xf numFmtId="166" fontId="6" fillId="2" borderId="12" xfId="1" applyNumberFormat="1" applyFont="1" applyFill="1" applyBorder="1" applyAlignment="1">
      <alignment horizontal="center"/>
    </xf>
    <xf numFmtId="166" fontId="6" fillId="2" borderId="21" xfId="1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Alignment="1"/>
    <xf numFmtId="49" fontId="6" fillId="2" borderId="7" xfId="2" applyNumberFormat="1" applyFont="1" applyFill="1" applyBorder="1" applyAlignment="1">
      <alignment horizontal="center"/>
    </xf>
    <xf numFmtId="0" fontId="6" fillId="2" borderId="22" xfId="2" applyFont="1" applyFill="1" applyBorder="1" applyAlignment="1">
      <alignment horizontal="justify" wrapText="1"/>
    </xf>
    <xf numFmtId="49" fontId="6" fillId="2" borderId="23" xfId="2" applyNumberFormat="1" applyFont="1" applyFill="1" applyBorder="1" applyAlignment="1">
      <alignment horizontal="center" wrapText="1"/>
    </xf>
    <xf numFmtId="49" fontId="4" fillId="2" borderId="23" xfId="2" applyNumberFormat="1" applyFont="1" applyFill="1" applyBorder="1" applyAlignment="1">
      <alignment horizontal="center"/>
    </xf>
    <xf numFmtId="1" fontId="6" fillId="2" borderId="23" xfId="2" applyNumberFormat="1" applyFont="1" applyFill="1" applyBorder="1" applyAlignment="1">
      <alignment horizontal="justify" wrapText="1"/>
    </xf>
    <xf numFmtId="0" fontId="6" fillId="2" borderId="23" xfId="2" applyFont="1" applyFill="1" applyBorder="1" applyAlignment="1">
      <alignment horizontal="justify" wrapText="1"/>
    </xf>
    <xf numFmtId="0" fontId="6" fillId="2" borderId="23" xfId="2" applyFont="1" applyFill="1" applyBorder="1" applyAlignment="1">
      <alignment horizontal="center"/>
    </xf>
    <xf numFmtId="49" fontId="6" fillId="2" borderId="23" xfId="2" applyNumberFormat="1" applyFont="1" applyFill="1" applyBorder="1" applyAlignment="1">
      <alignment horizontal="justify" wrapText="1"/>
    </xf>
    <xf numFmtId="0" fontId="6" fillId="2" borderId="23" xfId="2" applyFont="1" applyFill="1" applyBorder="1" applyAlignment="1">
      <alignment horizontal="center" wrapText="1"/>
    </xf>
    <xf numFmtId="164" fontId="6" fillId="2" borderId="23" xfId="1" applyNumberFormat="1" applyFont="1" applyFill="1" applyBorder="1" applyAlignment="1"/>
    <xf numFmtId="164" fontId="6" fillId="2" borderId="22" xfId="1" applyNumberFormat="1" applyFont="1" applyFill="1" applyBorder="1" applyAlignment="1"/>
    <xf numFmtId="166" fontId="6" fillId="2" borderId="23" xfId="1" applyNumberFormat="1" applyFont="1" applyFill="1" applyBorder="1" applyAlignment="1">
      <alignment horizontal="center"/>
    </xf>
    <xf numFmtId="166" fontId="6" fillId="2" borderId="24" xfId="1" applyNumberFormat="1" applyFont="1" applyFill="1" applyBorder="1" applyAlignment="1">
      <alignment horizontal="center"/>
    </xf>
    <xf numFmtId="49" fontId="3" fillId="3" borderId="20" xfId="2" applyNumberFormat="1" applyFont="1" applyFill="1" applyBorder="1" applyAlignment="1">
      <alignment horizontal="center" vertical="center"/>
    </xf>
    <xf numFmtId="49" fontId="7" fillId="3" borderId="12" xfId="2" applyNumberFormat="1" applyFont="1" applyFill="1" applyBorder="1" applyAlignment="1">
      <alignment horizontal="center" vertical="center"/>
    </xf>
    <xf numFmtId="1" fontId="3" fillId="3" borderId="12" xfId="2" applyNumberFormat="1" applyFont="1" applyFill="1" applyBorder="1" applyAlignment="1">
      <alignment horizontal="justify" vertical="center" wrapText="1"/>
    </xf>
    <xf numFmtId="164" fontId="3" fillId="3" borderId="12" xfId="1" applyNumberFormat="1" applyFont="1" applyFill="1" applyBorder="1" applyAlignment="1">
      <alignment vertical="center"/>
    </xf>
    <xf numFmtId="166" fontId="3" fillId="3" borderId="12" xfId="1" applyNumberFormat="1" applyFont="1" applyFill="1" applyBorder="1" applyAlignment="1">
      <alignment horizontal="center" vertical="center"/>
    </xf>
    <xf numFmtId="166" fontId="3" fillId="3" borderId="21" xfId="1" applyNumberFormat="1" applyFont="1" applyFill="1" applyBorder="1" applyAlignment="1">
      <alignment horizontal="center" vertical="center"/>
    </xf>
    <xf numFmtId="164" fontId="3" fillId="4" borderId="28" xfId="1" applyNumberFormat="1" applyFont="1" applyFill="1" applyBorder="1" applyAlignment="1">
      <alignment vertical="center"/>
    </xf>
    <xf numFmtId="166" fontId="3" fillId="4" borderId="28" xfId="1" applyNumberFormat="1" applyFont="1" applyFill="1" applyBorder="1" applyAlignment="1">
      <alignment horizontal="center" vertical="center"/>
    </xf>
    <xf numFmtId="166" fontId="3" fillId="4" borderId="29" xfId="1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justify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justify" wrapText="1"/>
    </xf>
    <xf numFmtId="49" fontId="3" fillId="3" borderId="30" xfId="2" applyNumberFormat="1" applyFont="1" applyFill="1" applyBorder="1" applyAlignment="1">
      <alignment horizontal="center" vertical="center"/>
    </xf>
    <xf numFmtId="49" fontId="6" fillId="2" borderId="31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/>
    <xf numFmtId="49" fontId="6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justify" wrapText="1"/>
    </xf>
    <xf numFmtId="164" fontId="3" fillId="3" borderId="11" xfId="1" applyNumberFormat="1" applyFont="1" applyFill="1" applyBorder="1" applyAlignment="1">
      <alignment vertical="center"/>
    </xf>
    <xf numFmtId="49" fontId="3" fillId="3" borderId="3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" fontId="3" fillId="3" borderId="12" xfId="0" applyNumberFormat="1" applyFont="1" applyFill="1" applyBorder="1" applyAlignment="1">
      <alignment horizontal="justify" vertical="center" wrapText="1"/>
    </xf>
    <xf numFmtId="49" fontId="6" fillId="2" borderId="9" xfId="0" applyNumberFormat="1" applyFont="1" applyFill="1" applyBorder="1" applyAlignment="1">
      <alignment horizontal="center" wrapText="1"/>
    </xf>
    <xf numFmtId="1" fontId="6" fillId="2" borderId="9" xfId="0" applyNumberFormat="1" applyFont="1" applyFill="1" applyBorder="1" applyAlignment="1">
      <alignment horizontal="justify" wrapText="1"/>
    </xf>
    <xf numFmtId="0" fontId="6" fillId="2" borderId="9" xfId="0" applyFont="1" applyFill="1" applyBorder="1" applyAlignment="1">
      <alignment horizontal="justify" wrapText="1"/>
    </xf>
    <xf numFmtId="49" fontId="3" fillId="3" borderId="20" xfId="0" applyNumberFormat="1" applyFont="1" applyFill="1" applyBorder="1" applyAlignment="1">
      <alignment horizontal="center" vertical="center"/>
    </xf>
    <xf numFmtId="166" fontId="3" fillId="3" borderId="9" xfId="1" applyNumberFormat="1" applyFont="1" applyFill="1" applyBorder="1" applyAlignment="1">
      <alignment horizontal="center" vertical="center"/>
    </xf>
    <xf numFmtId="166" fontId="6" fillId="2" borderId="22" xfId="1" applyNumberFormat="1" applyFont="1" applyFill="1" applyBorder="1" applyAlignment="1">
      <alignment horizontal="center"/>
    </xf>
    <xf numFmtId="166" fontId="6" fillId="2" borderId="32" xfId="1" applyNumberFormat="1" applyFont="1" applyFill="1" applyBorder="1" applyAlignment="1">
      <alignment horizontal="center"/>
    </xf>
    <xf numFmtId="166" fontId="6" fillId="2" borderId="9" xfId="1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165" fontId="3" fillId="0" borderId="0" xfId="1" applyFont="1" applyBorder="1"/>
    <xf numFmtId="165" fontId="3" fillId="0" borderId="0" xfId="1" quotePrefix="1" applyFont="1" applyBorder="1"/>
    <xf numFmtId="165" fontId="3" fillId="0" borderId="0" xfId="1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0" fillId="0" borderId="0" xfId="1" applyNumberFormat="1" applyFont="1"/>
    <xf numFmtId="165" fontId="0" fillId="0" borderId="0" xfId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164" fontId="0" fillId="2" borderId="0" xfId="1" applyNumberFormat="1" applyFont="1" applyFill="1"/>
    <xf numFmtId="164" fontId="8" fillId="0" borderId="0" xfId="1" applyNumberFormat="1" applyFont="1"/>
    <xf numFmtId="166" fontId="0" fillId="0" borderId="0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justify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 horizontal="center" wrapText="1"/>
    </xf>
    <xf numFmtId="166" fontId="0" fillId="0" borderId="0" xfId="1" applyNumberFormat="1" applyFont="1" applyBorder="1" applyAlignment="1">
      <alignment horizontal="center"/>
    </xf>
    <xf numFmtId="0" fontId="0" fillId="0" borderId="0" xfId="0" applyBorder="1"/>
    <xf numFmtId="0" fontId="9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166" fontId="7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166" fontId="7" fillId="0" borderId="0" xfId="1" applyNumberFormat="1" applyFont="1" applyAlignment="1">
      <alignment horizontal="center"/>
    </xf>
    <xf numFmtId="164" fontId="6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0" applyNumberFormat="1" applyBorder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7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7" fillId="0" borderId="0" xfId="0" applyFont="1"/>
    <xf numFmtId="0" fontId="4" fillId="0" borderId="0" xfId="0" applyFont="1" applyAlignment="1">
      <alignment horizontal="center" wrapText="1"/>
    </xf>
    <xf numFmtId="164" fontId="11" fillId="0" borderId="0" xfId="1" applyNumberFormat="1" applyFont="1" applyAlignment="1">
      <alignment horizontal="right"/>
    </xf>
    <xf numFmtId="166" fontId="11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right"/>
    </xf>
    <xf numFmtId="49" fontId="6" fillId="2" borderId="33" xfId="2" applyNumberFormat="1" applyFont="1" applyFill="1" applyBorder="1" applyAlignment="1">
      <alignment horizontal="center" wrapText="1"/>
    </xf>
    <xf numFmtId="49" fontId="6" fillId="2" borderId="33" xfId="2" applyNumberFormat="1" applyFont="1" applyFill="1" applyBorder="1" applyAlignment="1">
      <alignment horizontal="justify" wrapText="1"/>
    </xf>
    <xf numFmtId="49" fontId="3" fillId="3" borderId="34" xfId="2" applyNumberFormat="1" applyFont="1" applyFill="1" applyBorder="1" applyAlignment="1">
      <alignment horizontal="center" vertical="center"/>
    </xf>
    <xf numFmtId="49" fontId="7" fillId="3" borderId="35" xfId="2" applyNumberFormat="1" applyFont="1" applyFill="1" applyBorder="1" applyAlignment="1">
      <alignment horizontal="center" vertical="center"/>
    </xf>
    <xf numFmtId="1" fontId="3" fillId="3" borderId="35" xfId="2" applyNumberFormat="1" applyFont="1" applyFill="1" applyBorder="1" applyAlignment="1">
      <alignment horizontal="justify" vertical="center" wrapText="1"/>
    </xf>
    <xf numFmtId="164" fontId="3" fillId="3" borderId="35" xfId="1" applyNumberFormat="1" applyFont="1" applyFill="1" applyBorder="1" applyAlignment="1">
      <alignment vertical="center"/>
    </xf>
    <xf numFmtId="166" fontId="3" fillId="3" borderId="35" xfId="1" applyNumberFormat="1" applyFont="1" applyFill="1" applyBorder="1" applyAlignment="1">
      <alignment horizontal="center" vertical="center"/>
    </xf>
    <xf numFmtId="166" fontId="3" fillId="3" borderId="36" xfId="1" applyNumberFormat="1" applyFont="1" applyFill="1" applyBorder="1" applyAlignment="1">
      <alignment horizontal="center" vertical="center"/>
    </xf>
    <xf numFmtId="49" fontId="6" fillId="2" borderId="23" xfId="2" applyNumberFormat="1" applyFont="1" applyFill="1" applyBorder="1" applyAlignment="1">
      <alignment horizontal="center"/>
    </xf>
    <xf numFmtId="49" fontId="6" fillId="2" borderId="11" xfId="2" applyNumberFormat="1" applyFont="1" applyFill="1" applyBorder="1" applyAlignment="1">
      <alignment horizontal="center" wrapText="1"/>
    </xf>
    <xf numFmtId="49" fontId="6" fillId="2" borderId="12" xfId="2" applyNumberFormat="1" applyFont="1" applyFill="1" applyBorder="1" applyAlignment="1">
      <alignment horizontal="justify" wrapText="1"/>
    </xf>
    <xf numFmtId="49" fontId="6" fillId="2" borderId="11" xfId="2" applyNumberFormat="1" applyFont="1" applyFill="1" applyBorder="1" applyAlignment="1">
      <alignment horizontal="justify"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Alignment="1">
      <alignment horizontal="center"/>
    </xf>
    <xf numFmtId="0" fontId="6" fillId="2" borderId="0" xfId="0" applyFont="1" applyFill="1" applyAlignment="1">
      <alignment horizontal="right" wrapText="1"/>
    </xf>
    <xf numFmtId="0" fontId="6" fillId="0" borderId="0" xfId="0" applyFont="1" applyAlignment="1">
      <alignment vertical="top" wrapText="1"/>
    </xf>
    <xf numFmtId="49" fontId="3" fillId="2" borderId="0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3" fillId="2" borderId="0" xfId="0" applyNumberFormat="1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164" fontId="7" fillId="0" borderId="0" xfId="1" applyNumberFormat="1" applyFont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6" fillId="0" borderId="0" xfId="0" applyFont="1" applyAlignment="1">
      <alignment vertical="top" wrapText="1"/>
    </xf>
    <xf numFmtId="49" fontId="3" fillId="2" borderId="0" xfId="0" applyNumberFormat="1" applyFont="1" applyFill="1" applyBorder="1" applyAlignment="1">
      <alignment horizontal="left"/>
    </xf>
    <xf numFmtId="0" fontId="3" fillId="3" borderId="1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49" fontId="3" fillId="4" borderId="26" xfId="0" applyNumberFormat="1" applyFont="1" applyFill="1" applyBorder="1" applyAlignment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left" vertical="center" wrapText="1"/>
    </xf>
    <xf numFmtId="0" fontId="3" fillId="3" borderId="8" xfId="2" applyFont="1" applyFill="1" applyBorder="1" applyAlignment="1">
      <alignment horizontal="left" vertical="center" wrapText="1"/>
    </xf>
    <xf numFmtId="0" fontId="3" fillId="3" borderId="23" xfId="2" applyFont="1" applyFill="1" applyBorder="1" applyAlignment="1">
      <alignment horizontal="left" vertical="center" wrapText="1"/>
    </xf>
    <xf numFmtId="49" fontId="3" fillId="4" borderId="25" xfId="2" applyNumberFormat="1" applyFont="1" applyFill="1" applyBorder="1" applyAlignment="1">
      <alignment horizontal="center" vertical="center"/>
    </xf>
    <xf numFmtId="49" fontId="3" fillId="4" borderId="26" xfId="2" applyNumberFormat="1" applyFont="1" applyFill="1" applyBorder="1" applyAlignment="1">
      <alignment horizontal="center" vertical="center"/>
    </xf>
    <xf numFmtId="49" fontId="3" fillId="4" borderId="27" xfId="2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5" fontId="3" fillId="0" borderId="5" xfId="1" applyFont="1" applyFill="1" applyBorder="1" applyAlignment="1">
      <alignment horizontal="center" vertical="center"/>
    </xf>
    <xf numFmtId="165" fontId="3" fillId="0" borderId="2" xfId="1" applyFont="1" applyFill="1" applyBorder="1" applyAlignment="1">
      <alignment horizontal="center" vertical="center"/>
    </xf>
    <xf numFmtId="165" fontId="3" fillId="0" borderId="6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1485-B392-4E3B-88AF-73D04449B425}">
  <sheetPr>
    <tabColor theme="3" tint="0.39997558519241921"/>
  </sheetPr>
  <dimension ref="A1:Y353"/>
  <sheetViews>
    <sheetView showGridLines="0" tabSelected="1" topLeftCell="A749" zoomScaleNormal="100" workbookViewId="0">
      <selection activeCell="L436" sqref="L436"/>
    </sheetView>
  </sheetViews>
  <sheetFormatPr defaultRowHeight="12.75" x14ac:dyDescent="0.2"/>
  <cols>
    <col min="1" max="1" width="6.7109375" style="125" customWidth="1"/>
    <col min="2" max="2" width="16.7109375" style="126" customWidth="1"/>
    <col min="3" max="3" width="8.5703125" style="118" customWidth="1"/>
    <col min="4" max="4" width="15.7109375" style="118" customWidth="1"/>
    <col min="5" max="5" width="15.5703125" style="126" customWidth="1"/>
    <col min="6" max="6" width="23.7109375" style="126" customWidth="1"/>
    <col min="7" max="7" width="5.7109375" style="118" customWidth="1"/>
    <col min="8" max="8" width="6.140625" style="127" customWidth="1"/>
    <col min="9" max="9" width="17.7109375" style="128" customWidth="1"/>
    <col min="10" max="10" width="4.42578125" style="129" customWidth="1"/>
    <col min="11" max="11" width="15" style="115" customWidth="1"/>
    <col min="12" max="13" width="14.140625" style="115" customWidth="1"/>
    <col min="14" max="14" width="15.42578125" style="115" customWidth="1"/>
    <col min="15" max="15" width="13.7109375" style="115" customWidth="1"/>
    <col min="16" max="17" width="14.140625" style="115" customWidth="1"/>
    <col min="18" max="18" width="15.42578125" style="115" customWidth="1"/>
    <col min="19" max="19" width="15.42578125" style="138" customWidth="1"/>
    <col min="20" max="20" width="6.7109375" style="124" customWidth="1"/>
    <col min="21" max="21" width="15.42578125" style="138" customWidth="1"/>
    <col min="22" max="22" width="6.7109375" style="124" customWidth="1"/>
    <col min="23" max="23" width="15.42578125" style="115" customWidth="1"/>
    <col min="24" max="24" width="6.7109375" style="130" customWidth="1"/>
    <col min="25" max="25" width="14" style="131" bestFit="1" customWidth="1"/>
    <col min="26" max="26" width="13.5703125" bestFit="1" customWidth="1"/>
  </cols>
  <sheetData>
    <row r="1" spans="1:25" s="2" customFormat="1" ht="15" x14ac:dyDescent="0.2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1"/>
    </row>
    <row r="2" spans="1:25" s="2" customFormat="1" ht="15" x14ac:dyDescent="0.2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1"/>
    </row>
    <row r="3" spans="1:25" s="2" customFormat="1" ht="15" x14ac:dyDescent="0.2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1"/>
    </row>
    <row r="4" spans="1:25" s="2" customFormat="1" ht="15" x14ac:dyDescent="0.2">
      <c r="A4" s="173" t="s">
        <v>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/>
      <c r="S4" s="173"/>
      <c r="T4" s="173"/>
      <c r="U4" s="173"/>
      <c r="V4" s="173"/>
      <c r="W4" s="173"/>
      <c r="X4" s="173"/>
      <c r="Y4" s="1"/>
    </row>
    <row r="5" spans="1:25" s="2" customFormat="1" ht="15" x14ac:dyDescent="0.2">
      <c r="A5" s="173" t="s">
        <v>281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/>
      <c r="S5" s="173"/>
      <c r="T5" s="173"/>
      <c r="U5" s="173"/>
      <c r="V5" s="173"/>
      <c r="W5" s="173"/>
      <c r="X5" s="173"/>
      <c r="Y5" s="1"/>
    </row>
    <row r="6" spans="1:25" s="2" customFormat="1" ht="15" x14ac:dyDescent="0.2">
      <c r="A6" s="173" t="s">
        <v>282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"/>
    </row>
    <row r="7" spans="1:25" s="2" customFormat="1" ht="15" customHeight="1" x14ac:dyDescent="0.2">
      <c r="A7" s="205" t="s">
        <v>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1"/>
    </row>
    <row r="8" spans="1:25" s="2" customFormat="1" ht="16.5" thickBot="1" x14ac:dyDescent="0.25">
      <c r="A8" s="3"/>
      <c r="B8" s="4"/>
      <c r="C8" s="5"/>
      <c r="D8" s="5"/>
      <c r="E8" s="6"/>
      <c r="F8" s="4"/>
      <c r="G8" s="5"/>
      <c r="H8" s="5"/>
      <c r="I8" s="4"/>
      <c r="J8" s="5"/>
      <c r="K8" s="7"/>
      <c r="L8" s="7"/>
      <c r="M8" s="7"/>
      <c r="N8" s="7"/>
      <c r="O8" s="7"/>
      <c r="P8" s="7"/>
      <c r="Q8" s="7"/>
      <c r="R8" s="7"/>
      <c r="S8" s="7"/>
      <c r="T8" s="5"/>
      <c r="U8" s="7"/>
      <c r="V8" s="5"/>
      <c r="W8" s="7"/>
      <c r="X8" s="5"/>
      <c r="Y8" s="1"/>
    </row>
    <row r="9" spans="1:25" s="9" customFormat="1" ht="27" customHeight="1" x14ac:dyDescent="0.2">
      <c r="A9" s="206" t="s">
        <v>5</v>
      </c>
      <c r="B9" s="207"/>
      <c r="C9" s="207"/>
      <c r="D9" s="207"/>
      <c r="E9" s="207"/>
      <c r="F9" s="207"/>
      <c r="G9" s="207"/>
      <c r="H9" s="207"/>
      <c r="I9" s="207"/>
      <c r="J9" s="208"/>
      <c r="K9" s="209" t="s">
        <v>6</v>
      </c>
      <c r="L9" s="211" t="s">
        <v>7</v>
      </c>
      <c r="M9" s="212"/>
      <c r="N9" s="209" t="s">
        <v>8</v>
      </c>
      <c r="O9" s="209" t="s">
        <v>9</v>
      </c>
      <c r="P9" s="213" t="s">
        <v>10</v>
      </c>
      <c r="Q9" s="214"/>
      <c r="R9" s="209" t="s">
        <v>11</v>
      </c>
      <c r="S9" s="215" t="s">
        <v>12</v>
      </c>
      <c r="T9" s="216"/>
      <c r="U9" s="216"/>
      <c r="V9" s="216"/>
      <c r="W9" s="216"/>
      <c r="X9" s="217"/>
      <c r="Y9" s="8"/>
    </row>
    <row r="10" spans="1:25" s="16" customFormat="1" ht="27" customHeight="1" x14ac:dyDescent="0.2">
      <c r="A10" s="218" t="s">
        <v>13</v>
      </c>
      <c r="B10" s="219"/>
      <c r="C10" s="220" t="s">
        <v>14</v>
      </c>
      <c r="D10" s="222" t="s">
        <v>15</v>
      </c>
      <c r="E10" s="224" t="s">
        <v>16</v>
      </c>
      <c r="F10" s="219"/>
      <c r="G10" s="220" t="s">
        <v>17</v>
      </c>
      <c r="H10" s="225" t="s">
        <v>18</v>
      </c>
      <c r="I10" s="226"/>
      <c r="J10" s="220" t="s">
        <v>19</v>
      </c>
      <c r="K10" s="210"/>
      <c r="L10" s="10" t="s">
        <v>20</v>
      </c>
      <c r="M10" s="10" t="s">
        <v>21</v>
      </c>
      <c r="N10" s="210"/>
      <c r="O10" s="210"/>
      <c r="P10" s="10" t="s">
        <v>22</v>
      </c>
      <c r="Q10" s="11" t="s">
        <v>23</v>
      </c>
      <c r="R10" s="210"/>
      <c r="S10" s="12" t="s">
        <v>24</v>
      </c>
      <c r="T10" s="13" t="s">
        <v>25</v>
      </c>
      <c r="U10" s="12" t="s">
        <v>26</v>
      </c>
      <c r="V10" s="13" t="s">
        <v>25</v>
      </c>
      <c r="W10" s="12" t="s">
        <v>27</v>
      </c>
      <c r="X10" s="14" t="s">
        <v>25</v>
      </c>
      <c r="Y10" s="15"/>
    </row>
    <row r="11" spans="1:25" s="28" customFormat="1" ht="27" customHeight="1" thickBot="1" x14ac:dyDescent="0.25">
      <c r="A11" s="17" t="s">
        <v>28</v>
      </c>
      <c r="B11" s="18" t="s">
        <v>16</v>
      </c>
      <c r="C11" s="221"/>
      <c r="D11" s="223"/>
      <c r="E11" s="19" t="s">
        <v>29</v>
      </c>
      <c r="F11" s="19" t="s">
        <v>30</v>
      </c>
      <c r="G11" s="221"/>
      <c r="H11" s="20" t="s">
        <v>28</v>
      </c>
      <c r="I11" s="18" t="s">
        <v>16</v>
      </c>
      <c r="J11" s="221"/>
      <c r="K11" s="21" t="s">
        <v>31</v>
      </c>
      <c r="L11" s="22" t="s">
        <v>32</v>
      </c>
      <c r="M11" s="22" t="s">
        <v>33</v>
      </c>
      <c r="N11" s="22" t="s">
        <v>34</v>
      </c>
      <c r="O11" s="22" t="s">
        <v>35</v>
      </c>
      <c r="P11" s="23" t="s">
        <v>36</v>
      </c>
      <c r="Q11" s="23" t="s">
        <v>37</v>
      </c>
      <c r="R11" s="23" t="s">
        <v>38</v>
      </c>
      <c r="S11" s="23" t="s">
        <v>39</v>
      </c>
      <c r="T11" s="24" t="s">
        <v>40</v>
      </c>
      <c r="U11" s="23" t="s">
        <v>41</v>
      </c>
      <c r="V11" s="25" t="s">
        <v>42</v>
      </c>
      <c r="W11" s="23" t="s">
        <v>43</v>
      </c>
      <c r="X11" s="26" t="s">
        <v>44</v>
      </c>
      <c r="Y11" s="27"/>
    </row>
    <row r="12" spans="1:25" s="41" customFormat="1" ht="12" customHeight="1" x14ac:dyDescent="0.2">
      <c r="A12" s="29"/>
      <c r="B12" s="30"/>
      <c r="C12" s="31"/>
      <c r="D12" s="32"/>
      <c r="E12" s="33"/>
      <c r="F12" s="34"/>
      <c r="G12" s="35"/>
      <c r="H12" s="31"/>
      <c r="I12" s="36"/>
      <c r="J12" s="37"/>
      <c r="K12" s="38"/>
      <c r="L12" s="39"/>
      <c r="M12" s="39"/>
      <c r="N12" s="38"/>
      <c r="O12" s="39"/>
      <c r="P12" s="39"/>
      <c r="Q12" s="39"/>
      <c r="R12" s="38"/>
      <c r="S12" s="39"/>
      <c r="T12" s="40"/>
      <c r="U12" s="39"/>
      <c r="V12" s="40"/>
      <c r="W12" s="39"/>
      <c r="X12" s="40"/>
    </row>
    <row r="13" spans="1:25" s="43" customFormat="1" ht="39" customHeight="1" x14ac:dyDescent="0.2">
      <c r="A13" s="72" t="s">
        <v>45</v>
      </c>
      <c r="B13" s="195" t="s">
        <v>46</v>
      </c>
      <c r="C13" s="196"/>
      <c r="D13" s="73" t="s">
        <v>51</v>
      </c>
      <c r="E13" s="74" t="s">
        <v>47</v>
      </c>
      <c r="F13" s="195" t="s">
        <v>52</v>
      </c>
      <c r="G13" s="197"/>
      <c r="H13" s="197"/>
      <c r="I13" s="197"/>
      <c r="J13" s="196"/>
      <c r="K13" s="75">
        <f>SUM(K14:K15)</f>
        <v>2138567</v>
      </c>
      <c r="L13" s="75">
        <f t="shared" ref="L13:W13" si="0">SUM(L14:L15)</f>
        <v>0</v>
      </c>
      <c r="M13" s="75">
        <f t="shared" si="0"/>
        <v>0</v>
      </c>
      <c r="N13" s="75">
        <f t="shared" si="0"/>
        <v>2138567</v>
      </c>
      <c r="O13" s="75">
        <f t="shared" si="0"/>
        <v>0</v>
      </c>
      <c r="P13" s="75">
        <f t="shared" si="0"/>
        <v>0</v>
      </c>
      <c r="Q13" s="75">
        <f t="shared" si="0"/>
        <v>-654149.9</v>
      </c>
      <c r="R13" s="75">
        <f t="shared" si="0"/>
        <v>1484417.1</v>
      </c>
      <c r="S13" s="75">
        <f t="shared" si="0"/>
        <v>0</v>
      </c>
      <c r="T13" s="76">
        <f>S13/R13</f>
        <v>0</v>
      </c>
      <c r="U13" s="75">
        <f t="shared" si="0"/>
        <v>0</v>
      </c>
      <c r="V13" s="76">
        <f>U13/R13</f>
        <v>0</v>
      </c>
      <c r="W13" s="75">
        <f t="shared" si="0"/>
        <v>0</v>
      </c>
      <c r="X13" s="77">
        <f>W13/R13</f>
        <v>0</v>
      </c>
      <c r="Y13" s="42"/>
    </row>
    <row r="14" spans="1:25" s="58" customFormat="1" ht="39" customHeight="1" x14ac:dyDescent="0.2">
      <c r="A14" s="44" t="s">
        <v>45</v>
      </c>
      <c r="B14" s="45" t="s">
        <v>46</v>
      </c>
      <c r="C14" s="46" t="s">
        <v>48</v>
      </c>
      <c r="D14" s="47" t="s">
        <v>51</v>
      </c>
      <c r="E14" s="48" t="s">
        <v>47</v>
      </c>
      <c r="F14" s="49" t="s">
        <v>53</v>
      </c>
      <c r="G14" s="50">
        <v>1</v>
      </c>
      <c r="H14" s="46" t="s">
        <v>49</v>
      </c>
      <c r="I14" s="51" t="s">
        <v>50</v>
      </c>
      <c r="J14" s="52">
        <v>1</v>
      </c>
      <c r="K14" s="53">
        <v>1471363</v>
      </c>
      <c r="L14" s="54">
        <v>0</v>
      </c>
      <c r="M14" s="54">
        <v>0</v>
      </c>
      <c r="N14" s="53">
        <f>K14+L14-M14</f>
        <v>1471363</v>
      </c>
      <c r="O14" s="54">
        <v>0</v>
      </c>
      <c r="P14" s="54">
        <v>0</v>
      </c>
      <c r="Q14" s="54">
        <f>-140685.04-143194.39-120621.05</f>
        <v>-404500.48000000004</v>
      </c>
      <c r="R14" s="53">
        <f t="shared" ref="R14:R15" si="1">N14-O14+P14+Q14</f>
        <v>1066862.52</v>
      </c>
      <c r="S14" s="54">
        <v>0</v>
      </c>
      <c r="T14" s="55">
        <f>S14/R14</f>
        <v>0</v>
      </c>
      <c r="U14" s="54">
        <v>0</v>
      </c>
      <c r="V14" s="55">
        <f t="shared" ref="V14:V15" si="2">U14/R14</f>
        <v>0</v>
      </c>
      <c r="W14" s="54">
        <v>0</v>
      </c>
      <c r="X14" s="56">
        <f t="shared" ref="X14:X15" si="3">W14/R14</f>
        <v>0</v>
      </c>
      <c r="Y14" s="57"/>
    </row>
    <row r="15" spans="1:25" s="58" customFormat="1" ht="39" customHeight="1" x14ac:dyDescent="0.2">
      <c r="A15" s="44" t="s">
        <v>45</v>
      </c>
      <c r="B15" s="45" t="s">
        <v>46</v>
      </c>
      <c r="C15" s="46" t="s">
        <v>48</v>
      </c>
      <c r="D15" s="47" t="s">
        <v>51</v>
      </c>
      <c r="E15" s="48" t="s">
        <v>47</v>
      </c>
      <c r="F15" s="49" t="s">
        <v>53</v>
      </c>
      <c r="G15" s="50">
        <v>1</v>
      </c>
      <c r="H15" s="46" t="s">
        <v>49</v>
      </c>
      <c r="I15" s="51" t="s">
        <v>50</v>
      </c>
      <c r="J15" s="52">
        <v>3</v>
      </c>
      <c r="K15" s="53">
        <v>667204</v>
      </c>
      <c r="L15" s="54">
        <v>0</v>
      </c>
      <c r="M15" s="54">
        <v>0</v>
      </c>
      <c r="N15" s="53">
        <f t="shared" ref="N15" si="4">K15+L15-M15</f>
        <v>667204</v>
      </c>
      <c r="O15" s="54">
        <v>0</v>
      </c>
      <c r="P15" s="54">
        <v>0</v>
      </c>
      <c r="Q15" s="54">
        <f>-66907.88-69710.23-113031.31</f>
        <v>-249649.41999999998</v>
      </c>
      <c r="R15" s="53">
        <f t="shared" si="1"/>
        <v>417554.58</v>
      </c>
      <c r="S15" s="54">
        <v>0</v>
      </c>
      <c r="T15" s="55">
        <f>S15/R15</f>
        <v>0</v>
      </c>
      <c r="U15" s="54">
        <v>0</v>
      </c>
      <c r="V15" s="55">
        <f t="shared" si="2"/>
        <v>0</v>
      </c>
      <c r="W15" s="54">
        <v>0</v>
      </c>
      <c r="X15" s="56">
        <f t="shared" si="3"/>
        <v>0</v>
      </c>
      <c r="Y15" s="57"/>
    </row>
    <row r="16" spans="1:25" s="41" customFormat="1" ht="9" customHeight="1" x14ac:dyDescent="0.2">
      <c r="A16" s="59"/>
      <c r="B16" s="60"/>
      <c r="C16" s="61"/>
      <c r="D16" s="62"/>
      <c r="E16" s="63"/>
      <c r="F16" s="64"/>
      <c r="G16" s="65"/>
      <c r="H16" s="61"/>
      <c r="I16" s="66"/>
      <c r="J16" s="67"/>
      <c r="K16" s="68"/>
      <c r="L16" s="69"/>
      <c r="M16" s="69"/>
      <c r="N16" s="68"/>
      <c r="O16" s="69"/>
      <c r="P16" s="69"/>
      <c r="Q16" s="69"/>
      <c r="R16" s="68"/>
      <c r="S16" s="69"/>
      <c r="T16" s="70"/>
      <c r="U16" s="69"/>
      <c r="V16" s="70"/>
      <c r="W16" s="69"/>
      <c r="X16" s="71"/>
    </row>
    <row r="17" spans="1:25" s="43" customFormat="1" ht="39" customHeight="1" x14ac:dyDescent="0.2">
      <c r="A17" s="72" t="s">
        <v>45</v>
      </c>
      <c r="B17" s="195" t="s">
        <v>46</v>
      </c>
      <c r="C17" s="196"/>
      <c r="D17" s="73" t="s">
        <v>54</v>
      </c>
      <c r="E17" s="74" t="s">
        <v>47</v>
      </c>
      <c r="F17" s="195" t="s">
        <v>55</v>
      </c>
      <c r="G17" s="197"/>
      <c r="H17" s="197"/>
      <c r="I17" s="197"/>
      <c r="J17" s="196"/>
      <c r="K17" s="75">
        <f>SUM(K18:K19)</f>
        <v>1009931</v>
      </c>
      <c r="L17" s="75">
        <f t="shared" ref="L17:W17" si="5">SUM(L18:L19)</f>
        <v>0</v>
      </c>
      <c r="M17" s="75">
        <f t="shared" si="5"/>
        <v>0</v>
      </c>
      <c r="N17" s="75">
        <f t="shared" si="5"/>
        <v>1009931</v>
      </c>
      <c r="O17" s="75">
        <f t="shared" si="5"/>
        <v>0</v>
      </c>
      <c r="P17" s="75">
        <f t="shared" si="5"/>
        <v>0</v>
      </c>
      <c r="Q17" s="75">
        <f t="shared" si="5"/>
        <v>-359824.77</v>
      </c>
      <c r="R17" s="75">
        <f t="shared" si="5"/>
        <v>650106.23</v>
      </c>
      <c r="S17" s="75">
        <f t="shared" si="5"/>
        <v>0</v>
      </c>
      <c r="T17" s="76">
        <f>S17/R17</f>
        <v>0</v>
      </c>
      <c r="U17" s="75">
        <f t="shared" si="5"/>
        <v>0</v>
      </c>
      <c r="V17" s="76">
        <f>U17/R17</f>
        <v>0</v>
      </c>
      <c r="W17" s="75">
        <f t="shared" si="5"/>
        <v>0</v>
      </c>
      <c r="X17" s="77">
        <f>W17/R17</f>
        <v>0</v>
      </c>
      <c r="Y17" s="42"/>
    </row>
    <row r="18" spans="1:25" s="58" customFormat="1" ht="39" customHeight="1" x14ac:dyDescent="0.2">
      <c r="A18" s="44" t="s">
        <v>45</v>
      </c>
      <c r="B18" s="45" t="s">
        <v>46</v>
      </c>
      <c r="C18" s="46" t="s">
        <v>48</v>
      </c>
      <c r="D18" s="47" t="s">
        <v>54</v>
      </c>
      <c r="E18" s="48" t="s">
        <v>47</v>
      </c>
      <c r="F18" s="49" t="s">
        <v>56</v>
      </c>
      <c r="G18" s="50">
        <v>1</v>
      </c>
      <c r="H18" s="46" t="s">
        <v>49</v>
      </c>
      <c r="I18" s="51" t="s">
        <v>50</v>
      </c>
      <c r="J18" s="52">
        <v>1</v>
      </c>
      <c r="K18" s="53">
        <v>692406</v>
      </c>
      <c r="L18" s="54">
        <v>0</v>
      </c>
      <c r="M18" s="54">
        <v>0</v>
      </c>
      <c r="N18" s="53">
        <f t="shared" ref="N18:N19" si="6">K18+L18-M18</f>
        <v>692406</v>
      </c>
      <c r="O18" s="54">
        <v>0</v>
      </c>
      <c r="P18" s="54">
        <v>0</v>
      </c>
      <c r="Q18" s="54">
        <f>-74678.61-79223.81-64372.23</f>
        <v>-218274.65</v>
      </c>
      <c r="R18" s="53">
        <f t="shared" ref="R18:R19" si="7">N18-O18+P18+Q18</f>
        <v>474131.35</v>
      </c>
      <c r="S18" s="54">
        <v>0</v>
      </c>
      <c r="T18" s="55">
        <f>S18/R18</f>
        <v>0</v>
      </c>
      <c r="U18" s="54">
        <v>0</v>
      </c>
      <c r="V18" s="55">
        <f t="shared" ref="V18:V19" si="8">U18/R18</f>
        <v>0</v>
      </c>
      <c r="W18" s="54">
        <v>0</v>
      </c>
      <c r="X18" s="56">
        <f t="shared" ref="X18:X19" si="9">W18/R18</f>
        <v>0</v>
      </c>
      <c r="Y18" s="57"/>
    </row>
    <row r="19" spans="1:25" s="58" customFormat="1" ht="39" customHeight="1" x14ac:dyDescent="0.2">
      <c r="A19" s="44" t="s">
        <v>45</v>
      </c>
      <c r="B19" s="45" t="s">
        <v>46</v>
      </c>
      <c r="C19" s="46" t="s">
        <v>48</v>
      </c>
      <c r="D19" s="47" t="s">
        <v>54</v>
      </c>
      <c r="E19" s="48" t="s">
        <v>47</v>
      </c>
      <c r="F19" s="49" t="s">
        <v>56</v>
      </c>
      <c r="G19" s="50">
        <v>1</v>
      </c>
      <c r="H19" s="46" t="s">
        <v>49</v>
      </c>
      <c r="I19" s="51" t="s">
        <v>50</v>
      </c>
      <c r="J19" s="52">
        <v>3</v>
      </c>
      <c r="K19" s="53">
        <v>317525</v>
      </c>
      <c r="L19" s="54">
        <v>0</v>
      </c>
      <c r="M19" s="54">
        <v>0</v>
      </c>
      <c r="N19" s="53">
        <f t="shared" si="6"/>
        <v>317525</v>
      </c>
      <c r="O19" s="54">
        <v>0</v>
      </c>
      <c r="P19" s="54">
        <v>0</v>
      </c>
      <c r="Q19" s="54">
        <f>-34855.11-45688.45-61006.56</f>
        <v>-141550.12</v>
      </c>
      <c r="R19" s="53">
        <f t="shared" si="7"/>
        <v>175974.88</v>
      </c>
      <c r="S19" s="54">
        <v>0</v>
      </c>
      <c r="T19" s="55">
        <f>S19/R19</f>
        <v>0</v>
      </c>
      <c r="U19" s="54">
        <v>0</v>
      </c>
      <c r="V19" s="55">
        <f t="shared" si="8"/>
        <v>0</v>
      </c>
      <c r="W19" s="54">
        <v>0</v>
      </c>
      <c r="X19" s="56">
        <f t="shared" si="9"/>
        <v>0</v>
      </c>
      <c r="Y19" s="57"/>
    </row>
    <row r="20" spans="1:25" s="41" customFormat="1" ht="9" customHeight="1" x14ac:dyDescent="0.2">
      <c r="A20" s="59"/>
      <c r="B20" s="60"/>
      <c r="C20" s="61"/>
      <c r="D20" s="62"/>
      <c r="E20" s="63"/>
      <c r="F20" s="64"/>
      <c r="G20" s="65"/>
      <c r="H20" s="61"/>
      <c r="I20" s="66"/>
      <c r="J20" s="67"/>
      <c r="K20" s="68"/>
      <c r="L20" s="69"/>
      <c r="M20" s="69"/>
      <c r="N20" s="68"/>
      <c r="O20" s="69"/>
      <c r="P20" s="69"/>
      <c r="Q20" s="69"/>
      <c r="R20" s="68"/>
      <c r="S20" s="69"/>
      <c r="T20" s="70"/>
      <c r="U20" s="69"/>
      <c r="V20" s="70"/>
      <c r="W20" s="69"/>
      <c r="X20" s="71"/>
    </row>
    <row r="21" spans="1:25" s="43" customFormat="1" ht="39" customHeight="1" x14ac:dyDescent="0.2">
      <c r="A21" s="72" t="s">
        <v>45</v>
      </c>
      <c r="B21" s="195" t="s">
        <v>46</v>
      </c>
      <c r="C21" s="196"/>
      <c r="D21" s="73" t="s">
        <v>57</v>
      </c>
      <c r="E21" s="74" t="s">
        <v>47</v>
      </c>
      <c r="F21" s="195" t="s">
        <v>58</v>
      </c>
      <c r="G21" s="197"/>
      <c r="H21" s="197"/>
      <c r="I21" s="197"/>
      <c r="J21" s="196"/>
      <c r="K21" s="75">
        <f>SUM(K22:K23)</f>
        <v>6000000</v>
      </c>
      <c r="L21" s="75">
        <f>SUM(L22:L23)</f>
        <v>0</v>
      </c>
      <c r="M21" s="75">
        <f t="shared" ref="M21:S21" si="10">SUM(M22:M23)</f>
        <v>0</v>
      </c>
      <c r="N21" s="75">
        <f t="shared" si="10"/>
        <v>6000000</v>
      </c>
      <c r="O21" s="75">
        <f t="shared" si="10"/>
        <v>0</v>
      </c>
      <c r="P21" s="75">
        <f t="shared" si="10"/>
        <v>0</v>
      </c>
      <c r="Q21" s="75">
        <f t="shared" si="10"/>
        <v>-12637.71</v>
      </c>
      <c r="R21" s="75">
        <f t="shared" si="10"/>
        <v>5987362.29</v>
      </c>
      <c r="S21" s="75">
        <f t="shared" si="10"/>
        <v>806518.8</v>
      </c>
      <c r="T21" s="76">
        <f>S21/R21</f>
        <v>0.13470352401207378</v>
      </c>
      <c r="U21" s="75">
        <f>SUM(U22:U23)</f>
        <v>412762.35</v>
      </c>
      <c r="V21" s="76">
        <f>U21/R21</f>
        <v>6.8938930034247184E-2</v>
      </c>
      <c r="W21" s="75">
        <f>SUM(W22:W23)</f>
        <v>412762.35</v>
      </c>
      <c r="X21" s="77">
        <f>W21/R21</f>
        <v>6.8938930034247184E-2</v>
      </c>
      <c r="Y21" s="42"/>
    </row>
    <row r="22" spans="1:25" s="58" customFormat="1" ht="39" customHeight="1" x14ac:dyDescent="0.2">
      <c r="A22" s="44" t="s">
        <v>45</v>
      </c>
      <c r="B22" s="45" t="s">
        <v>46</v>
      </c>
      <c r="C22" s="46" t="s">
        <v>48</v>
      </c>
      <c r="D22" s="47" t="s">
        <v>57</v>
      </c>
      <c r="E22" s="48" t="s">
        <v>47</v>
      </c>
      <c r="F22" s="49" t="s">
        <v>58</v>
      </c>
      <c r="G22" s="50">
        <v>1</v>
      </c>
      <c r="H22" s="46" t="s">
        <v>59</v>
      </c>
      <c r="I22" s="51" t="s">
        <v>60</v>
      </c>
      <c r="J22" s="52">
        <v>3</v>
      </c>
      <c r="K22" s="53">
        <v>5447285</v>
      </c>
      <c r="L22" s="54">
        <v>0</v>
      </c>
      <c r="M22" s="54">
        <v>0</v>
      </c>
      <c r="N22" s="53">
        <f t="shared" ref="N22:N23" si="11">K22+L22-M22</f>
        <v>5447285</v>
      </c>
      <c r="O22" s="54">
        <v>0</v>
      </c>
      <c r="P22" s="54">
        <v>0</v>
      </c>
      <c r="Q22" s="54">
        <f>-7156.19-5481.52</f>
        <v>-12637.71</v>
      </c>
      <c r="R22" s="53">
        <f t="shared" ref="R22:R23" si="12">N22-O22+P22+Q22</f>
        <v>5434647.29</v>
      </c>
      <c r="S22" s="54">
        <f>366610+439908.8</f>
        <v>806518.8</v>
      </c>
      <c r="T22" s="55">
        <f>S22/R22</f>
        <v>0.14840315423671221</v>
      </c>
      <c r="U22" s="54">
        <f>366610+46152.35</f>
        <v>412762.35</v>
      </c>
      <c r="V22" s="55">
        <f t="shared" ref="V22:V23" si="13">U22/R22</f>
        <v>7.5950163455777819E-2</v>
      </c>
      <c r="W22" s="54">
        <f>366610+46152.35</f>
        <v>412762.35</v>
      </c>
      <c r="X22" s="56">
        <f t="shared" ref="X22:X23" si="14">W22/R22</f>
        <v>7.5950163455777819E-2</v>
      </c>
      <c r="Y22" s="57"/>
    </row>
    <row r="23" spans="1:25" s="58" customFormat="1" ht="39" customHeight="1" x14ac:dyDescent="0.2">
      <c r="A23" s="44" t="s">
        <v>45</v>
      </c>
      <c r="B23" s="45" t="s">
        <v>46</v>
      </c>
      <c r="C23" s="46" t="s">
        <v>48</v>
      </c>
      <c r="D23" s="47" t="s">
        <v>57</v>
      </c>
      <c r="E23" s="48" t="s">
        <v>47</v>
      </c>
      <c r="F23" s="49" t="s">
        <v>58</v>
      </c>
      <c r="G23" s="50">
        <v>1</v>
      </c>
      <c r="H23" s="46" t="s">
        <v>59</v>
      </c>
      <c r="I23" s="51" t="s">
        <v>60</v>
      </c>
      <c r="J23" s="52">
        <v>4</v>
      </c>
      <c r="K23" s="53">
        <v>552715</v>
      </c>
      <c r="L23" s="54">
        <v>0</v>
      </c>
      <c r="M23" s="54">
        <v>0</v>
      </c>
      <c r="N23" s="53">
        <f t="shared" si="11"/>
        <v>552715</v>
      </c>
      <c r="O23" s="54">
        <v>0</v>
      </c>
      <c r="P23" s="54">
        <v>0</v>
      </c>
      <c r="Q23" s="54">
        <v>0</v>
      </c>
      <c r="R23" s="53">
        <f t="shared" si="12"/>
        <v>552715</v>
      </c>
      <c r="S23" s="54">
        <v>0</v>
      </c>
      <c r="T23" s="55">
        <f t="shared" ref="T23" si="15">S23/R23</f>
        <v>0</v>
      </c>
      <c r="U23" s="54">
        <v>0</v>
      </c>
      <c r="V23" s="55">
        <f t="shared" si="13"/>
        <v>0</v>
      </c>
      <c r="W23" s="54">
        <v>0</v>
      </c>
      <c r="X23" s="56">
        <f t="shared" si="14"/>
        <v>0</v>
      </c>
      <c r="Y23" s="57"/>
    </row>
    <row r="24" spans="1:25" s="41" customFormat="1" ht="9" customHeight="1" x14ac:dyDescent="0.2">
      <c r="A24" s="59"/>
      <c r="B24" s="60"/>
      <c r="C24" s="61"/>
      <c r="D24" s="62"/>
      <c r="E24" s="63"/>
      <c r="F24" s="64"/>
      <c r="G24" s="65"/>
      <c r="H24" s="61"/>
      <c r="I24" s="66"/>
      <c r="J24" s="67"/>
      <c r="K24" s="68"/>
      <c r="L24" s="69"/>
      <c r="M24" s="69"/>
      <c r="N24" s="68"/>
      <c r="O24" s="69"/>
      <c r="P24" s="69"/>
      <c r="Q24" s="69"/>
      <c r="R24" s="68"/>
      <c r="S24" s="69"/>
      <c r="T24" s="70"/>
      <c r="U24" s="69"/>
      <c r="V24" s="70"/>
      <c r="W24" s="69"/>
      <c r="X24" s="71"/>
    </row>
    <row r="25" spans="1:25" s="43" customFormat="1" ht="39" customHeight="1" x14ac:dyDescent="0.2">
      <c r="A25" s="72" t="s">
        <v>45</v>
      </c>
      <c r="B25" s="195" t="s">
        <v>46</v>
      </c>
      <c r="C25" s="196"/>
      <c r="D25" s="73" t="s">
        <v>61</v>
      </c>
      <c r="E25" s="74" t="s">
        <v>62</v>
      </c>
      <c r="F25" s="195" t="s">
        <v>63</v>
      </c>
      <c r="G25" s="197"/>
      <c r="H25" s="197"/>
      <c r="I25" s="197"/>
      <c r="J25" s="196"/>
      <c r="K25" s="75">
        <f>SUM(K26:K28)</f>
        <v>530812136</v>
      </c>
      <c r="L25" s="75">
        <f t="shared" ref="L25:S25" si="16">SUM(L26:L28)</f>
        <v>693600</v>
      </c>
      <c r="M25" s="75">
        <f t="shared" si="16"/>
        <v>0</v>
      </c>
      <c r="N25" s="75">
        <f t="shared" si="16"/>
        <v>531505736</v>
      </c>
      <c r="O25" s="75">
        <f t="shared" si="16"/>
        <v>0</v>
      </c>
      <c r="P25" s="75">
        <f t="shared" si="16"/>
        <v>0</v>
      </c>
      <c r="Q25" s="75">
        <f t="shared" si="16"/>
        <v>0</v>
      </c>
      <c r="R25" s="75">
        <f t="shared" si="16"/>
        <v>531505736</v>
      </c>
      <c r="S25" s="75">
        <f t="shared" si="16"/>
        <v>123455063.53</v>
      </c>
      <c r="T25" s="76">
        <f t="shared" ref="T25:T28" si="17">S25/R25</f>
        <v>0.2322741885329343</v>
      </c>
      <c r="U25" s="75">
        <f>SUM(U26:U28)</f>
        <v>123442100.81</v>
      </c>
      <c r="V25" s="76">
        <f>U25/R25</f>
        <v>0.23224979985916841</v>
      </c>
      <c r="W25" s="75">
        <f>SUM(W26:W28)</f>
        <v>117184734.26999998</v>
      </c>
      <c r="X25" s="77">
        <f>W25/R25</f>
        <v>0.22047689485330405</v>
      </c>
      <c r="Y25" s="42"/>
    </row>
    <row r="26" spans="1:25" s="58" customFormat="1" ht="39" customHeight="1" x14ac:dyDescent="0.2">
      <c r="A26" s="44" t="s">
        <v>45</v>
      </c>
      <c r="B26" s="45" t="s">
        <v>46</v>
      </c>
      <c r="C26" s="46" t="s">
        <v>64</v>
      </c>
      <c r="D26" s="47" t="s">
        <v>61</v>
      </c>
      <c r="E26" s="48" t="s">
        <v>62</v>
      </c>
      <c r="F26" s="49" t="s">
        <v>63</v>
      </c>
      <c r="G26" s="50">
        <v>1</v>
      </c>
      <c r="H26" s="46" t="s">
        <v>49</v>
      </c>
      <c r="I26" s="51" t="s">
        <v>50</v>
      </c>
      <c r="J26" s="52">
        <v>1</v>
      </c>
      <c r="K26" s="53">
        <v>529032136</v>
      </c>
      <c r="L26" s="54">
        <v>0</v>
      </c>
      <c r="M26" s="54">
        <v>0</v>
      </c>
      <c r="N26" s="53">
        <f t="shared" ref="N26:N63" si="18">K26+L26-M26</f>
        <v>529032136</v>
      </c>
      <c r="O26" s="54">
        <v>0</v>
      </c>
      <c r="P26" s="54">
        <v>0</v>
      </c>
      <c r="Q26" s="54">
        <v>0</v>
      </c>
      <c r="R26" s="53">
        <f t="shared" ref="R26:R88" si="19">N26-O26+P26+Q26</f>
        <v>529032136</v>
      </c>
      <c r="S26" s="54">
        <f>40404373.78+41788827.44+41167908.18</f>
        <v>123361109.40000001</v>
      </c>
      <c r="T26" s="55">
        <f t="shared" si="17"/>
        <v>0.23318263864409175</v>
      </c>
      <c r="U26" s="54">
        <f>40404373.78+41770700.95+41173071.95</f>
        <v>123348146.68000001</v>
      </c>
      <c r="V26" s="55">
        <f t="shared" ref="V26:V88" si="20">U26/R26</f>
        <v>0.23315813593599918</v>
      </c>
      <c r="W26" s="54">
        <f>34250204.51+41786024.84+41059616.07</f>
        <v>117095845.41999999</v>
      </c>
      <c r="X26" s="56">
        <f t="shared" ref="X26:X88" si="21">W26/R26</f>
        <v>0.221339758876198</v>
      </c>
      <c r="Y26" s="57"/>
    </row>
    <row r="27" spans="1:25" s="58" customFormat="1" ht="39" customHeight="1" x14ac:dyDescent="0.2">
      <c r="A27" s="44" t="s">
        <v>45</v>
      </c>
      <c r="B27" s="45" t="s">
        <v>46</v>
      </c>
      <c r="C27" s="46" t="s">
        <v>64</v>
      </c>
      <c r="D27" s="47" t="s">
        <v>61</v>
      </c>
      <c r="E27" s="48" t="s">
        <v>62</v>
      </c>
      <c r="F27" s="49" t="s">
        <v>63</v>
      </c>
      <c r="G27" s="50">
        <v>1</v>
      </c>
      <c r="H27" s="46" t="s">
        <v>49</v>
      </c>
      <c r="I27" s="51" t="s">
        <v>50</v>
      </c>
      <c r="J27" s="52">
        <v>3</v>
      </c>
      <c r="K27" s="53">
        <v>1480000</v>
      </c>
      <c r="L27" s="54">
        <f>693600</f>
        <v>693600</v>
      </c>
      <c r="M27" s="54">
        <v>0</v>
      </c>
      <c r="N27" s="53">
        <f t="shared" si="18"/>
        <v>2173600</v>
      </c>
      <c r="O27" s="54">
        <v>0</v>
      </c>
      <c r="P27" s="54">
        <v>0</v>
      </c>
      <c r="Q27" s="54">
        <v>0</v>
      </c>
      <c r="R27" s="53">
        <f t="shared" si="19"/>
        <v>2173600</v>
      </c>
      <c r="S27" s="54">
        <f>4345+69484.09+20125.04</f>
        <v>93954.13</v>
      </c>
      <c r="T27" s="55">
        <f t="shared" si="17"/>
        <v>4.3225124217887378E-2</v>
      </c>
      <c r="U27" s="54">
        <f>4345+65884.09+23725.04</f>
        <v>93954.13</v>
      </c>
      <c r="V27" s="55">
        <f t="shared" si="20"/>
        <v>4.3225124217887378E-2</v>
      </c>
      <c r="W27" s="54">
        <f>4345+65884.09+18659.76</f>
        <v>88888.849999999991</v>
      </c>
      <c r="X27" s="56">
        <f t="shared" si="21"/>
        <v>4.0894759845417739E-2</v>
      </c>
      <c r="Y27" s="57"/>
    </row>
    <row r="28" spans="1:25" s="58" customFormat="1" ht="39" customHeight="1" x14ac:dyDescent="0.2">
      <c r="A28" s="44" t="s">
        <v>45</v>
      </c>
      <c r="B28" s="45" t="s">
        <v>46</v>
      </c>
      <c r="C28" s="46" t="s">
        <v>64</v>
      </c>
      <c r="D28" s="47" t="s">
        <v>61</v>
      </c>
      <c r="E28" s="48" t="s">
        <v>62</v>
      </c>
      <c r="F28" s="49" t="s">
        <v>63</v>
      </c>
      <c r="G28" s="50">
        <v>1</v>
      </c>
      <c r="H28" s="46" t="s">
        <v>65</v>
      </c>
      <c r="I28" s="51" t="s">
        <v>66</v>
      </c>
      <c r="J28" s="52">
        <v>1</v>
      </c>
      <c r="K28" s="53">
        <v>300000</v>
      </c>
      <c r="L28" s="54">
        <v>0</v>
      </c>
      <c r="M28" s="54">
        <v>0</v>
      </c>
      <c r="N28" s="53">
        <f t="shared" si="18"/>
        <v>300000</v>
      </c>
      <c r="O28" s="54">
        <v>0</v>
      </c>
      <c r="P28" s="54">
        <v>0</v>
      </c>
      <c r="Q28" s="54">
        <v>0</v>
      </c>
      <c r="R28" s="53">
        <f t="shared" si="19"/>
        <v>300000</v>
      </c>
      <c r="S28" s="54">
        <v>0</v>
      </c>
      <c r="T28" s="55">
        <f t="shared" si="17"/>
        <v>0</v>
      </c>
      <c r="U28" s="54">
        <v>0</v>
      </c>
      <c r="V28" s="55">
        <f t="shared" si="20"/>
        <v>0</v>
      </c>
      <c r="W28" s="54">
        <v>0</v>
      </c>
      <c r="X28" s="56">
        <f t="shared" si="21"/>
        <v>0</v>
      </c>
      <c r="Y28" s="57"/>
    </row>
    <row r="29" spans="1:25" s="41" customFormat="1" ht="9" customHeight="1" x14ac:dyDescent="0.2">
      <c r="A29" s="59"/>
      <c r="B29" s="60"/>
      <c r="C29" s="61"/>
      <c r="D29" s="62"/>
      <c r="E29" s="63"/>
      <c r="F29" s="64"/>
      <c r="G29" s="65"/>
      <c r="H29" s="61"/>
      <c r="I29" s="66"/>
      <c r="J29" s="67"/>
      <c r="K29" s="68"/>
      <c r="L29" s="69"/>
      <c r="M29" s="69"/>
      <c r="N29" s="68"/>
      <c r="O29" s="69"/>
      <c r="P29" s="69"/>
      <c r="Q29" s="69"/>
      <c r="R29" s="68"/>
      <c r="S29" s="69"/>
      <c r="T29" s="70"/>
      <c r="U29" s="69"/>
      <c r="V29" s="70"/>
      <c r="W29" s="69"/>
      <c r="X29" s="71"/>
    </row>
    <row r="30" spans="1:25" s="43" customFormat="1" ht="39" customHeight="1" x14ac:dyDescent="0.2">
      <c r="A30" s="72" t="s">
        <v>45</v>
      </c>
      <c r="B30" s="195" t="s">
        <v>46</v>
      </c>
      <c r="C30" s="196"/>
      <c r="D30" s="73" t="s">
        <v>67</v>
      </c>
      <c r="E30" s="74" t="s">
        <v>62</v>
      </c>
      <c r="F30" s="195" t="s">
        <v>68</v>
      </c>
      <c r="G30" s="197"/>
      <c r="H30" s="197"/>
      <c r="I30" s="197"/>
      <c r="J30" s="196"/>
      <c r="K30" s="75">
        <f t="shared" ref="K30:S30" si="22">SUM(K31:K32)</f>
        <v>83194669</v>
      </c>
      <c r="L30" s="75">
        <f t="shared" si="22"/>
        <v>112200</v>
      </c>
      <c r="M30" s="75">
        <f t="shared" si="22"/>
        <v>0</v>
      </c>
      <c r="N30" s="75">
        <f t="shared" si="22"/>
        <v>83306869</v>
      </c>
      <c r="O30" s="75">
        <f t="shared" si="22"/>
        <v>0</v>
      </c>
      <c r="P30" s="75">
        <f t="shared" si="22"/>
        <v>0</v>
      </c>
      <c r="Q30" s="75">
        <f t="shared" si="22"/>
        <v>0</v>
      </c>
      <c r="R30" s="75">
        <f t="shared" si="22"/>
        <v>83306869</v>
      </c>
      <c r="S30" s="75">
        <f t="shared" si="22"/>
        <v>18221398.079999998</v>
      </c>
      <c r="T30" s="76">
        <f>S30/R30</f>
        <v>0.21872623828894588</v>
      </c>
      <c r="U30" s="75">
        <f>SUM(U31:U32)</f>
        <v>18023502.719999999</v>
      </c>
      <c r="V30" s="76">
        <f>U30/R30</f>
        <v>0.21635073957706896</v>
      </c>
      <c r="W30" s="75">
        <f>SUM(W31:W32)</f>
        <v>17467635.489999998</v>
      </c>
      <c r="X30" s="77">
        <f>W30/R30</f>
        <v>0.20967821380971596</v>
      </c>
      <c r="Y30" s="42"/>
    </row>
    <row r="31" spans="1:25" s="58" customFormat="1" ht="39" customHeight="1" x14ac:dyDescent="0.2">
      <c r="A31" s="44" t="s">
        <v>45</v>
      </c>
      <c r="B31" s="45" t="s">
        <v>46</v>
      </c>
      <c r="C31" s="46" t="s">
        <v>64</v>
      </c>
      <c r="D31" s="47" t="s">
        <v>67</v>
      </c>
      <c r="E31" s="48" t="s">
        <v>62</v>
      </c>
      <c r="F31" s="49" t="s">
        <v>68</v>
      </c>
      <c r="G31" s="50">
        <v>1</v>
      </c>
      <c r="H31" s="46" t="s">
        <v>49</v>
      </c>
      <c r="I31" s="51" t="s">
        <v>50</v>
      </c>
      <c r="J31" s="52">
        <v>1</v>
      </c>
      <c r="K31" s="53">
        <v>82584669</v>
      </c>
      <c r="L31" s="54">
        <v>0</v>
      </c>
      <c r="M31" s="54">
        <v>0</v>
      </c>
      <c r="N31" s="53">
        <f t="shared" si="18"/>
        <v>82584669</v>
      </c>
      <c r="O31" s="54">
        <v>0</v>
      </c>
      <c r="P31" s="54">
        <v>0</v>
      </c>
      <c r="Q31" s="54">
        <v>0</v>
      </c>
      <c r="R31" s="53">
        <f t="shared" si="19"/>
        <v>82584669</v>
      </c>
      <c r="S31" s="54">
        <f>5976746.18+6062921.44+6170781.67</f>
        <v>18210449.289999999</v>
      </c>
      <c r="T31" s="55">
        <f>S31/R31</f>
        <v>0.22050641493761994</v>
      </c>
      <c r="U31" s="54">
        <f>5976746.18+5973804.17+6062003.58</f>
        <v>18012553.93</v>
      </c>
      <c r="V31" s="55">
        <f t="shared" si="20"/>
        <v>0.21811014257379902</v>
      </c>
      <c r="W31" s="54">
        <f>5474073.87+5964504.67+6018108.16</f>
        <v>17456686.699999999</v>
      </c>
      <c r="X31" s="56">
        <f t="shared" si="21"/>
        <v>0.21137926580537605</v>
      </c>
      <c r="Y31" s="57"/>
    </row>
    <row r="32" spans="1:25" s="58" customFormat="1" ht="39" customHeight="1" x14ac:dyDescent="0.2">
      <c r="A32" s="44" t="s">
        <v>45</v>
      </c>
      <c r="B32" s="45" t="s">
        <v>46</v>
      </c>
      <c r="C32" s="46" t="s">
        <v>64</v>
      </c>
      <c r="D32" s="47" t="s">
        <v>67</v>
      </c>
      <c r="E32" s="48" t="s">
        <v>62</v>
      </c>
      <c r="F32" s="49" t="s">
        <v>68</v>
      </c>
      <c r="G32" s="50">
        <v>1</v>
      </c>
      <c r="H32" s="46" t="s">
        <v>49</v>
      </c>
      <c r="I32" s="51" t="s">
        <v>50</v>
      </c>
      <c r="J32" s="52">
        <v>3</v>
      </c>
      <c r="K32" s="53">
        <v>610000</v>
      </c>
      <c r="L32" s="54">
        <f>112200</f>
        <v>112200</v>
      </c>
      <c r="M32" s="54">
        <v>0</v>
      </c>
      <c r="N32" s="53">
        <f t="shared" si="18"/>
        <v>722200</v>
      </c>
      <c r="O32" s="54">
        <v>0</v>
      </c>
      <c r="P32" s="54">
        <v>0</v>
      </c>
      <c r="Q32" s="54">
        <v>0</v>
      </c>
      <c r="R32" s="53">
        <f t="shared" si="19"/>
        <v>722200</v>
      </c>
      <c r="S32" s="54">
        <f>4345+1776.92+4826.87</f>
        <v>10948.79</v>
      </c>
      <c r="T32" s="55">
        <f>S32/R32</f>
        <v>1.5160329548601496E-2</v>
      </c>
      <c r="U32" s="54">
        <f>4345+1776.92+4826.87</f>
        <v>10948.79</v>
      </c>
      <c r="V32" s="55">
        <f t="shared" si="20"/>
        <v>1.5160329548601496E-2</v>
      </c>
      <c r="W32" s="54">
        <f>4345+1776.92+4826.87</f>
        <v>10948.79</v>
      </c>
      <c r="X32" s="56">
        <f t="shared" si="21"/>
        <v>1.5160329548601496E-2</v>
      </c>
      <c r="Y32" s="57"/>
    </row>
    <row r="33" spans="1:25" s="41" customFormat="1" ht="9" customHeight="1" x14ac:dyDescent="0.2">
      <c r="A33" s="59"/>
      <c r="B33" s="60"/>
      <c r="C33" s="61"/>
      <c r="D33" s="62"/>
      <c r="E33" s="63"/>
      <c r="F33" s="64"/>
      <c r="G33" s="65"/>
      <c r="H33" s="61"/>
      <c r="I33" s="66"/>
      <c r="J33" s="67"/>
      <c r="K33" s="68"/>
      <c r="L33" s="69"/>
      <c r="M33" s="69"/>
      <c r="N33" s="68"/>
      <c r="O33" s="69"/>
      <c r="P33" s="69"/>
      <c r="Q33" s="69"/>
      <c r="R33" s="68"/>
      <c r="S33" s="69"/>
      <c r="T33" s="70"/>
      <c r="U33" s="69"/>
      <c r="V33" s="70"/>
      <c r="W33" s="69"/>
      <c r="X33" s="71"/>
    </row>
    <row r="34" spans="1:25" s="43" customFormat="1" ht="39" customHeight="1" x14ac:dyDescent="0.2">
      <c r="A34" s="72" t="s">
        <v>45</v>
      </c>
      <c r="B34" s="195" t="s">
        <v>46</v>
      </c>
      <c r="C34" s="196"/>
      <c r="D34" s="73" t="s">
        <v>69</v>
      </c>
      <c r="E34" s="74" t="s">
        <v>62</v>
      </c>
      <c r="F34" s="195" t="s">
        <v>70</v>
      </c>
      <c r="G34" s="197"/>
      <c r="H34" s="197"/>
      <c r="I34" s="197"/>
      <c r="J34" s="196"/>
      <c r="K34" s="75">
        <f>SUM(K35:K37)</f>
        <v>169655348</v>
      </c>
      <c r="L34" s="75">
        <f t="shared" ref="L34:S34" si="23">SUM(L35:L37)</f>
        <v>312775</v>
      </c>
      <c r="M34" s="75">
        <f t="shared" si="23"/>
        <v>0</v>
      </c>
      <c r="N34" s="75">
        <f t="shared" si="23"/>
        <v>169968123</v>
      </c>
      <c r="O34" s="75">
        <f t="shared" si="23"/>
        <v>0</v>
      </c>
      <c r="P34" s="75">
        <f t="shared" si="23"/>
        <v>0</v>
      </c>
      <c r="Q34" s="75">
        <f t="shared" si="23"/>
        <v>0</v>
      </c>
      <c r="R34" s="75">
        <f t="shared" si="23"/>
        <v>169968123</v>
      </c>
      <c r="S34" s="75">
        <f t="shared" si="23"/>
        <v>36565485.68</v>
      </c>
      <c r="T34" s="76">
        <f>S34/R34</f>
        <v>0.21513143190973522</v>
      </c>
      <c r="U34" s="75">
        <f>SUM(U35:U37)</f>
        <v>36327852.829999991</v>
      </c>
      <c r="V34" s="76">
        <f>U34/R34</f>
        <v>0.21373332945495899</v>
      </c>
      <c r="W34" s="75">
        <f>SUM(W35:W37)</f>
        <v>34982236.719999991</v>
      </c>
      <c r="X34" s="77">
        <f>W34/R34</f>
        <v>0.20581645606570587</v>
      </c>
      <c r="Y34" s="42"/>
    </row>
    <row r="35" spans="1:25" s="58" customFormat="1" ht="39" customHeight="1" x14ac:dyDescent="0.2">
      <c r="A35" s="44" t="s">
        <v>45</v>
      </c>
      <c r="B35" s="45" t="s">
        <v>46</v>
      </c>
      <c r="C35" s="46" t="s">
        <v>64</v>
      </c>
      <c r="D35" s="47" t="s">
        <v>69</v>
      </c>
      <c r="E35" s="48" t="s">
        <v>62</v>
      </c>
      <c r="F35" s="49" t="s">
        <v>71</v>
      </c>
      <c r="G35" s="50">
        <v>1</v>
      </c>
      <c r="H35" s="46" t="s">
        <v>49</v>
      </c>
      <c r="I35" s="51" t="s">
        <v>50</v>
      </c>
      <c r="J35" s="52">
        <v>1</v>
      </c>
      <c r="K35" s="53">
        <v>168875348</v>
      </c>
      <c r="L35" s="54">
        <v>0</v>
      </c>
      <c r="M35" s="54">
        <v>0</v>
      </c>
      <c r="N35" s="53">
        <f t="shared" si="18"/>
        <v>168875348</v>
      </c>
      <c r="O35" s="54">
        <v>0</v>
      </c>
      <c r="P35" s="54">
        <v>0</v>
      </c>
      <c r="Q35" s="54">
        <v>0</v>
      </c>
      <c r="R35" s="53">
        <f t="shared" si="19"/>
        <v>168875348</v>
      </c>
      <c r="S35" s="54">
        <f>12566565.22+12313876.81+11503070.81</f>
        <v>36383512.840000004</v>
      </c>
      <c r="T35" s="55">
        <f>S35/R35</f>
        <v>0.21544596811134331</v>
      </c>
      <c r="U35" s="54">
        <f>12484483.48+12313876.81+11347519.7</f>
        <v>36145879.989999995</v>
      </c>
      <c r="V35" s="55">
        <f t="shared" si="20"/>
        <v>0.21403881867944394</v>
      </c>
      <c r="W35" s="54">
        <f>11105461.51+12339273.04+11355529.33</f>
        <v>34800263.879999995</v>
      </c>
      <c r="X35" s="56">
        <f t="shared" si="21"/>
        <v>0.2060707160171181</v>
      </c>
      <c r="Y35" s="57"/>
    </row>
    <row r="36" spans="1:25" s="58" customFormat="1" ht="39" customHeight="1" x14ac:dyDescent="0.2">
      <c r="A36" s="44" t="s">
        <v>45</v>
      </c>
      <c r="B36" s="45" t="s">
        <v>46</v>
      </c>
      <c r="C36" s="46" t="s">
        <v>64</v>
      </c>
      <c r="D36" s="47" t="s">
        <v>69</v>
      </c>
      <c r="E36" s="48" t="s">
        <v>62</v>
      </c>
      <c r="F36" s="49" t="s">
        <v>71</v>
      </c>
      <c r="G36" s="50">
        <v>1</v>
      </c>
      <c r="H36" s="46" t="s">
        <v>49</v>
      </c>
      <c r="I36" s="51" t="s">
        <v>50</v>
      </c>
      <c r="J36" s="52">
        <v>3</v>
      </c>
      <c r="K36" s="53">
        <v>780000</v>
      </c>
      <c r="L36" s="54">
        <f>214200</f>
        <v>214200</v>
      </c>
      <c r="M36" s="54">
        <v>0</v>
      </c>
      <c r="N36" s="53">
        <f t="shared" si="18"/>
        <v>994200</v>
      </c>
      <c r="O36" s="54">
        <v>0</v>
      </c>
      <c r="P36" s="54">
        <v>0</v>
      </c>
      <c r="Q36" s="54">
        <v>0</v>
      </c>
      <c r="R36" s="53">
        <f t="shared" si="19"/>
        <v>994200</v>
      </c>
      <c r="S36" s="54">
        <f>1100+14799.63+126031.34</f>
        <v>141930.97</v>
      </c>
      <c r="T36" s="55">
        <f>S36/R36</f>
        <v>0.14275897203781934</v>
      </c>
      <c r="U36" s="54">
        <f>1100+8366.06+132464.91</f>
        <v>141930.97</v>
      </c>
      <c r="V36" s="55">
        <f>U36/R36</f>
        <v>0.14275897203781934</v>
      </c>
      <c r="W36" s="54">
        <f>1100+8366.06+132464.91</f>
        <v>141930.97</v>
      </c>
      <c r="X36" s="56">
        <f t="shared" si="21"/>
        <v>0.14275897203781934</v>
      </c>
      <c r="Y36" s="57"/>
    </row>
    <row r="37" spans="1:25" s="58" customFormat="1" ht="39" customHeight="1" x14ac:dyDescent="0.2">
      <c r="A37" s="44" t="s">
        <v>45</v>
      </c>
      <c r="B37" s="45" t="s">
        <v>46</v>
      </c>
      <c r="C37" s="46" t="s">
        <v>64</v>
      </c>
      <c r="D37" s="47" t="s">
        <v>69</v>
      </c>
      <c r="E37" s="48" t="s">
        <v>62</v>
      </c>
      <c r="F37" s="49" t="s">
        <v>71</v>
      </c>
      <c r="G37" s="50">
        <v>1</v>
      </c>
      <c r="H37" s="153" t="s">
        <v>269</v>
      </c>
      <c r="I37" s="154" t="s">
        <v>270</v>
      </c>
      <c r="J37" s="52">
        <v>1</v>
      </c>
      <c r="K37" s="53">
        <v>0</v>
      </c>
      <c r="L37" s="54">
        <f>98575</f>
        <v>98575</v>
      </c>
      <c r="M37" s="54">
        <v>0</v>
      </c>
      <c r="N37" s="53">
        <f t="shared" si="18"/>
        <v>98575</v>
      </c>
      <c r="O37" s="54">
        <v>0</v>
      </c>
      <c r="P37" s="54">
        <v>0</v>
      </c>
      <c r="Q37" s="54">
        <v>0</v>
      </c>
      <c r="R37" s="53">
        <f t="shared" si="19"/>
        <v>98575</v>
      </c>
      <c r="S37" s="54">
        <f>40041.87</f>
        <v>40041.870000000003</v>
      </c>
      <c r="T37" s="55">
        <f>S37/R37</f>
        <v>0.40620715191478574</v>
      </c>
      <c r="U37" s="54">
        <f>40041.87</f>
        <v>40041.870000000003</v>
      </c>
      <c r="V37" s="55">
        <f>U37/R37</f>
        <v>0.40620715191478574</v>
      </c>
      <c r="W37" s="54">
        <f>40041.87</f>
        <v>40041.870000000003</v>
      </c>
      <c r="X37" s="56">
        <f t="shared" si="21"/>
        <v>0.40620715191478574</v>
      </c>
      <c r="Y37" s="57"/>
    </row>
    <row r="38" spans="1:25" s="41" customFormat="1" ht="9" customHeight="1" x14ac:dyDescent="0.2">
      <c r="A38" s="59"/>
      <c r="B38" s="60"/>
      <c r="C38" s="61"/>
      <c r="D38" s="62"/>
      <c r="E38" s="63"/>
      <c r="F38" s="64"/>
      <c r="G38" s="65"/>
      <c r="H38" s="61"/>
      <c r="I38" s="66"/>
      <c r="J38" s="67"/>
      <c r="K38" s="68"/>
      <c r="L38" s="69"/>
      <c r="M38" s="69"/>
      <c r="N38" s="68"/>
      <c r="O38" s="69"/>
      <c r="P38" s="69"/>
      <c r="Q38" s="69"/>
      <c r="R38" s="68"/>
      <c r="S38" s="69"/>
      <c r="T38" s="70"/>
      <c r="U38" s="69"/>
      <c r="V38" s="70"/>
      <c r="W38" s="69"/>
      <c r="X38" s="71"/>
    </row>
    <row r="39" spans="1:25" s="43" customFormat="1" ht="39" customHeight="1" x14ac:dyDescent="0.2">
      <c r="A39" s="72" t="s">
        <v>45</v>
      </c>
      <c r="B39" s="195" t="s">
        <v>46</v>
      </c>
      <c r="C39" s="196"/>
      <c r="D39" s="73" t="s">
        <v>72</v>
      </c>
      <c r="E39" s="74" t="s">
        <v>62</v>
      </c>
      <c r="F39" s="195" t="s">
        <v>73</v>
      </c>
      <c r="G39" s="197"/>
      <c r="H39" s="197"/>
      <c r="I39" s="197"/>
      <c r="J39" s="196"/>
      <c r="K39" s="75">
        <f t="shared" ref="K39:S39" si="24">SUM(K40:K42)</f>
        <v>214142711</v>
      </c>
      <c r="L39" s="75">
        <f t="shared" si="24"/>
        <v>4482000</v>
      </c>
      <c r="M39" s="75">
        <f t="shared" si="24"/>
        <v>0</v>
      </c>
      <c r="N39" s="75">
        <f t="shared" si="24"/>
        <v>218624711</v>
      </c>
      <c r="O39" s="75">
        <f t="shared" si="24"/>
        <v>0</v>
      </c>
      <c r="P39" s="75">
        <f t="shared" si="24"/>
        <v>0</v>
      </c>
      <c r="Q39" s="75">
        <f t="shared" si="24"/>
        <v>0</v>
      </c>
      <c r="R39" s="75">
        <f t="shared" si="24"/>
        <v>218624711</v>
      </c>
      <c r="S39" s="75">
        <f t="shared" si="24"/>
        <v>45796140.25</v>
      </c>
      <c r="T39" s="76">
        <f t="shared" ref="T39:T42" si="25">S39/R39</f>
        <v>0.2094737600362111</v>
      </c>
      <c r="U39" s="75">
        <f>SUM(U40:U42)</f>
        <v>45796140.25</v>
      </c>
      <c r="V39" s="76">
        <f>U39/R39</f>
        <v>0.2094737600362111</v>
      </c>
      <c r="W39" s="75">
        <f>SUM(W40:W42)</f>
        <v>43310244.079999998</v>
      </c>
      <c r="X39" s="77">
        <f>W39/R39</f>
        <v>0.19810315074584592</v>
      </c>
      <c r="Y39" s="42"/>
    </row>
    <row r="40" spans="1:25" s="58" customFormat="1" ht="39" customHeight="1" x14ac:dyDescent="0.2">
      <c r="A40" s="44" t="s">
        <v>45</v>
      </c>
      <c r="B40" s="45" t="s">
        <v>46</v>
      </c>
      <c r="C40" s="46" t="s">
        <v>64</v>
      </c>
      <c r="D40" s="47" t="s">
        <v>72</v>
      </c>
      <c r="E40" s="48" t="s">
        <v>62</v>
      </c>
      <c r="F40" s="49" t="s">
        <v>73</v>
      </c>
      <c r="G40" s="50">
        <v>1</v>
      </c>
      <c r="H40" s="46" t="s">
        <v>49</v>
      </c>
      <c r="I40" s="51" t="s">
        <v>50</v>
      </c>
      <c r="J40" s="52">
        <v>1</v>
      </c>
      <c r="K40" s="53">
        <v>213642711</v>
      </c>
      <c r="L40" s="54">
        <v>0</v>
      </c>
      <c r="M40" s="54">
        <v>0</v>
      </c>
      <c r="N40" s="53">
        <f t="shared" si="18"/>
        <v>213642711</v>
      </c>
      <c r="O40" s="54">
        <v>0</v>
      </c>
      <c r="P40" s="54">
        <v>0</v>
      </c>
      <c r="Q40" s="54">
        <v>0</v>
      </c>
      <c r="R40" s="53">
        <f t="shared" si="19"/>
        <v>213642711</v>
      </c>
      <c r="S40" s="54">
        <f>14826499.91+15490100.27+14743812.43</f>
        <v>45060412.609999999</v>
      </c>
      <c r="T40" s="55">
        <f t="shared" si="25"/>
        <v>0.21091481379863225</v>
      </c>
      <c r="U40" s="54">
        <f>14826499.91+15490100.27+14743812.43</f>
        <v>45060412.609999999</v>
      </c>
      <c r="V40" s="55">
        <f>U40/R40</f>
        <v>0.21091481379863225</v>
      </c>
      <c r="W40" s="54">
        <f>12445381.14+15376132.28+14753003.02</f>
        <v>42574516.439999998</v>
      </c>
      <c r="X40" s="56">
        <f t="shared" si="21"/>
        <v>0.19927904977764488</v>
      </c>
      <c r="Y40" s="57"/>
    </row>
    <row r="41" spans="1:25" s="58" customFormat="1" ht="39" customHeight="1" x14ac:dyDescent="0.2">
      <c r="A41" s="44" t="s">
        <v>45</v>
      </c>
      <c r="B41" s="45" t="s">
        <v>46</v>
      </c>
      <c r="C41" s="46" t="s">
        <v>64</v>
      </c>
      <c r="D41" s="47" t="s">
        <v>72</v>
      </c>
      <c r="E41" s="48" t="s">
        <v>62</v>
      </c>
      <c r="F41" s="49" t="s">
        <v>73</v>
      </c>
      <c r="G41" s="50">
        <v>1</v>
      </c>
      <c r="H41" s="46" t="s">
        <v>49</v>
      </c>
      <c r="I41" s="51" t="s">
        <v>50</v>
      </c>
      <c r="J41" s="52">
        <v>3</v>
      </c>
      <c r="K41" s="53">
        <v>200000</v>
      </c>
      <c r="L41" s="54">
        <f>4482000</f>
        <v>4482000</v>
      </c>
      <c r="M41" s="54">
        <v>0</v>
      </c>
      <c r="N41" s="53">
        <f t="shared" si="18"/>
        <v>4682000</v>
      </c>
      <c r="O41" s="54">
        <v>0</v>
      </c>
      <c r="P41" s="54">
        <v>0</v>
      </c>
      <c r="Q41" s="54">
        <v>0</v>
      </c>
      <c r="R41" s="53">
        <f t="shared" si="19"/>
        <v>4682000</v>
      </c>
      <c r="S41" s="54">
        <f>142085.57+593642.07</f>
        <v>735727.6399999999</v>
      </c>
      <c r="T41" s="55">
        <f t="shared" si="25"/>
        <v>0.15713960700555316</v>
      </c>
      <c r="U41" s="54">
        <f>142085.57+593642.07</f>
        <v>735727.6399999999</v>
      </c>
      <c r="V41" s="55">
        <f t="shared" si="20"/>
        <v>0.15713960700555316</v>
      </c>
      <c r="W41" s="54">
        <f>142085.57+593642.07</f>
        <v>735727.6399999999</v>
      </c>
      <c r="X41" s="56">
        <f t="shared" si="21"/>
        <v>0.15713960700555316</v>
      </c>
      <c r="Y41" s="57"/>
    </row>
    <row r="42" spans="1:25" s="58" customFormat="1" ht="39" customHeight="1" x14ac:dyDescent="0.2">
      <c r="A42" s="44" t="s">
        <v>45</v>
      </c>
      <c r="B42" s="45" t="s">
        <v>46</v>
      </c>
      <c r="C42" s="46" t="s">
        <v>64</v>
      </c>
      <c r="D42" s="47" t="s">
        <v>72</v>
      </c>
      <c r="E42" s="48" t="s">
        <v>62</v>
      </c>
      <c r="F42" s="49" t="s">
        <v>73</v>
      </c>
      <c r="G42" s="50">
        <v>1</v>
      </c>
      <c r="H42" s="46" t="s">
        <v>65</v>
      </c>
      <c r="I42" s="51" t="s">
        <v>66</v>
      </c>
      <c r="J42" s="52">
        <v>1</v>
      </c>
      <c r="K42" s="53">
        <v>300000</v>
      </c>
      <c r="L42" s="54">
        <v>0</v>
      </c>
      <c r="M42" s="54">
        <v>0</v>
      </c>
      <c r="N42" s="53">
        <f t="shared" si="18"/>
        <v>300000</v>
      </c>
      <c r="O42" s="54">
        <v>0</v>
      </c>
      <c r="P42" s="54">
        <v>0</v>
      </c>
      <c r="Q42" s="54">
        <v>0</v>
      </c>
      <c r="R42" s="53">
        <f t="shared" si="19"/>
        <v>300000</v>
      </c>
      <c r="S42" s="54">
        <v>0</v>
      </c>
      <c r="T42" s="55">
        <f t="shared" si="25"/>
        <v>0</v>
      </c>
      <c r="U42" s="54">
        <v>0</v>
      </c>
      <c r="V42" s="55">
        <f t="shared" si="20"/>
        <v>0</v>
      </c>
      <c r="W42" s="54">
        <v>0</v>
      </c>
      <c r="X42" s="56">
        <f t="shared" si="21"/>
        <v>0</v>
      </c>
      <c r="Y42" s="57"/>
    </row>
    <row r="43" spans="1:25" s="41" customFormat="1" ht="9" customHeight="1" x14ac:dyDescent="0.2">
      <c r="A43" s="59"/>
      <c r="B43" s="60"/>
      <c r="C43" s="61"/>
      <c r="D43" s="62"/>
      <c r="E43" s="63"/>
      <c r="F43" s="64"/>
      <c r="G43" s="65"/>
      <c r="H43" s="61"/>
      <c r="I43" s="66"/>
      <c r="J43" s="67"/>
      <c r="K43" s="68"/>
      <c r="L43" s="69"/>
      <c r="M43" s="69"/>
      <c r="N43" s="68"/>
      <c r="O43" s="69"/>
      <c r="P43" s="69"/>
      <c r="Q43" s="69"/>
      <c r="R43" s="68"/>
      <c r="S43" s="69"/>
      <c r="T43" s="70"/>
      <c r="U43" s="69"/>
      <c r="V43" s="70"/>
      <c r="W43" s="69"/>
      <c r="X43" s="71"/>
    </row>
    <row r="44" spans="1:25" s="43" customFormat="1" ht="39" customHeight="1" x14ac:dyDescent="0.2">
      <c r="A44" s="72" t="s">
        <v>45</v>
      </c>
      <c r="B44" s="195" t="s">
        <v>46</v>
      </c>
      <c r="C44" s="196"/>
      <c r="D44" s="73" t="s">
        <v>74</v>
      </c>
      <c r="E44" s="74" t="s">
        <v>62</v>
      </c>
      <c r="F44" s="195" t="s">
        <v>75</v>
      </c>
      <c r="G44" s="197"/>
      <c r="H44" s="197"/>
      <c r="I44" s="197"/>
      <c r="J44" s="196"/>
      <c r="K44" s="75">
        <f t="shared" ref="K44:S44" si="26">SUM(K45:K46)</f>
        <v>24155687</v>
      </c>
      <c r="L44" s="75">
        <f t="shared" si="26"/>
        <v>498000</v>
      </c>
      <c r="M44" s="75">
        <f t="shared" si="26"/>
        <v>0</v>
      </c>
      <c r="N44" s="75">
        <f t="shared" si="26"/>
        <v>24653687</v>
      </c>
      <c r="O44" s="75">
        <f t="shared" si="26"/>
        <v>0</v>
      </c>
      <c r="P44" s="75">
        <f t="shared" si="26"/>
        <v>0</v>
      </c>
      <c r="Q44" s="75">
        <f t="shared" si="26"/>
        <v>0</v>
      </c>
      <c r="R44" s="75">
        <f t="shared" si="26"/>
        <v>24653687</v>
      </c>
      <c r="S44" s="75">
        <f t="shared" si="26"/>
        <v>5427792.6000000006</v>
      </c>
      <c r="T44" s="76">
        <f>S44/R44</f>
        <v>0.22016149551991962</v>
      </c>
      <c r="U44" s="75">
        <f>SUM(U45:U46)</f>
        <v>5356868.16</v>
      </c>
      <c r="V44" s="76">
        <f>U44/R44</f>
        <v>0.21728466658962614</v>
      </c>
      <c r="W44" s="75">
        <f>SUM(W45:W46)</f>
        <v>4962456.01</v>
      </c>
      <c r="X44" s="77">
        <f>W44/R44</f>
        <v>0.20128656658941113</v>
      </c>
      <c r="Y44" s="42"/>
    </row>
    <row r="45" spans="1:25" s="58" customFormat="1" ht="39" customHeight="1" x14ac:dyDescent="0.2">
      <c r="A45" s="44" t="s">
        <v>45</v>
      </c>
      <c r="B45" s="45" t="s">
        <v>46</v>
      </c>
      <c r="C45" s="46" t="s">
        <v>64</v>
      </c>
      <c r="D45" s="47" t="s">
        <v>74</v>
      </c>
      <c r="E45" s="48" t="s">
        <v>62</v>
      </c>
      <c r="F45" s="49" t="s">
        <v>75</v>
      </c>
      <c r="G45" s="50">
        <v>1</v>
      </c>
      <c r="H45" s="46" t="s">
        <v>49</v>
      </c>
      <c r="I45" s="51" t="s">
        <v>50</v>
      </c>
      <c r="J45" s="52">
        <v>1</v>
      </c>
      <c r="K45" s="53">
        <v>23955687</v>
      </c>
      <c r="L45" s="54">
        <v>0</v>
      </c>
      <c r="M45" s="54">
        <v>0</v>
      </c>
      <c r="N45" s="53">
        <f t="shared" si="18"/>
        <v>23955687</v>
      </c>
      <c r="O45" s="54">
        <v>0</v>
      </c>
      <c r="P45" s="54">
        <v>0</v>
      </c>
      <c r="Q45" s="54">
        <v>0</v>
      </c>
      <c r="R45" s="53">
        <f t="shared" si="19"/>
        <v>23955687</v>
      </c>
      <c r="S45" s="54">
        <f>2007774.57+1600303.25+1606228.95</f>
        <v>5214306.7700000005</v>
      </c>
      <c r="T45" s="55">
        <f>S45/R45</f>
        <v>0.21766467269337758</v>
      </c>
      <c r="U45" s="54">
        <f>1808144.05+1799933.77+1606228.95</f>
        <v>5214306.7700000005</v>
      </c>
      <c r="V45" s="55">
        <f t="shared" si="20"/>
        <v>0.21766467269337758</v>
      </c>
      <c r="W45" s="54">
        <f>1563454.8+1625257.06+1631182.76</f>
        <v>4819894.62</v>
      </c>
      <c r="X45" s="56">
        <f t="shared" si="21"/>
        <v>0.20120043395123671</v>
      </c>
      <c r="Y45" s="57"/>
    </row>
    <row r="46" spans="1:25" s="58" customFormat="1" ht="39" customHeight="1" x14ac:dyDescent="0.2">
      <c r="A46" s="44" t="s">
        <v>45</v>
      </c>
      <c r="B46" s="45" t="s">
        <v>46</v>
      </c>
      <c r="C46" s="46" t="s">
        <v>64</v>
      </c>
      <c r="D46" s="47" t="s">
        <v>74</v>
      </c>
      <c r="E46" s="48" t="s">
        <v>62</v>
      </c>
      <c r="F46" s="49" t="s">
        <v>75</v>
      </c>
      <c r="G46" s="50">
        <v>1</v>
      </c>
      <c r="H46" s="46" t="s">
        <v>49</v>
      </c>
      <c r="I46" s="51" t="s">
        <v>50</v>
      </c>
      <c r="J46" s="52">
        <v>3</v>
      </c>
      <c r="K46" s="53">
        <v>200000</v>
      </c>
      <c r="L46" s="54">
        <f>498000</f>
        <v>498000</v>
      </c>
      <c r="M46" s="54">
        <v>0</v>
      </c>
      <c r="N46" s="53">
        <f t="shared" si="18"/>
        <v>698000</v>
      </c>
      <c r="O46" s="54">
        <v>0</v>
      </c>
      <c r="P46" s="54">
        <v>0</v>
      </c>
      <c r="Q46" s="54">
        <v>0</v>
      </c>
      <c r="R46" s="53">
        <f t="shared" si="19"/>
        <v>698000</v>
      </c>
      <c r="S46" s="54">
        <f>70924.44+17430.11+125131.28</f>
        <v>213485.83000000002</v>
      </c>
      <c r="T46" s="55">
        <f>S46/R46</f>
        <v>0.30585362464183385</v>
      </c>
      <c r="U46" s="54">
        <f>70924.44+17430.11+54206.84</f>
        <v>142561.39000000001</v>
      </c>
      <c r="V46" s="55">
        <f t="shared" si="20"/>
        <v>0.20424267908309457</v>
      </c>
      <c r="W46" s="54">
        <f>70924.44+17430.11+54206.84</f>
        <v>142561.39000000001</v>
      </c>
      <c r="X46" s="56">
        <f t="shared" si="21"/>
        <v>0.20424267908309457</v>
      </c>
      <c r="Y46" s="57"/>
    </row>
    <row r="47" spans="1:25" s="41" customFormat="1" ht="9" customHeight="1" x14ac:dyDescent="0.2">
      <c r="A47" s="59"/>
      <c r="B47" s="60"/>
      <c r="C47" s="61"/>
      <c r="D47" s="62"/>
      <c r="E47" s="63"/>
      <c r="F47" s="64"/>
      <c r="G47" s="65"/>
      <c r="H47" s="61"/>
      <c r="I47" s="66"/>
      <c r="J47" s="67"/>
      <c r="K47" s="68"/>
      <c r="L47" s="69"/>
      <c r="M47" s="69"/>
      <c r="N47" s="68"/>
      <c r="O47" s="69"/>
      <c r="P47" s="69"/>
      <c r="Q47" s="69"/>
      <c r="R47" s="68"/>
      <c r="S47" s="69"/>
      <c r="T47" s="70"/>
      <c r="U47" s="69"/>
      <c r="V47" s="70"/>
      <c r="W47" s="69"/>
      <c r="X47" s="71"/>
    </row>
    <row r="48" spans="1:25" s="43" customFormat="1" ht="39" customHeight="1" x14ac:dyDescent="0.2">
      <c r="A48" s="72" t="s">
        <v>45</v>
      </c>
      <c r="B48" s="195" t="s">
        <v>46</v>
      </c>
      <c r="C48" s="196"/>
      <c r="D48" s="73" t="s">
        <v>76</v>
      </c>
      <c r="E48" s="74" t="s">
        <v>62</v>
      </c>
      <c r="F48" s="195" t="s">
        <v>77</v>
      </c>
      <c r="G48" s="197"/>
      <c r="H48" s="197"/>
      <c r="I48" s="197"/>
      <c r="J48" s="196"/>
      <c r="K48" s="75">
        <f>SUM(K49:K50)</f>
        <v>3008709</v>
      </c>
      <c r="L48" s="75">
        <f t="shared" ref="L48:S48" si="27">SUM(L49:L50)</f>
        <v>0</v>
      </c>
      <c r="M48" s="75">
        <f t="shared" si="27"/>
        <v>0</v>
      </c>
      <c r="N48" s="75">
        <f t="shared" si="27"/>
        <v>3008709</v>
      </c>
      <c r="O48" s="75">
        <f t="shared" si="27"/>
        <v>0</v>
      </c>
      <c r="P48" s="75">
        <f t="shared" si="27"/>
        <v>0</v>
      </c>
      <c r="Q48" s="75">
        <f t="shared" si="27"/>
        <v>0</v>
      </c>
      <c r="R48" s="75">
        <f t="shared" si="27"/>
        <v>3008709</v>
      </c>
      <c r="S48" s="75">
        <f t="shared" si="27"/>
        <v>559042.09</v>
      </c>
      <c r="T48" s="76">
        <f>S48/R48</f>
        <v>0.18580796281727477</v>
      </c>
      <c r="U48" s="75">
        <f>SUM(U49:U50)</f>
        <v>559042.09</v>
      </c>
      <c r="V48" s="76">
        <f>U48/R48</f>
        <v>0.18580796281727477</v>
      </c>
      <c r="W48" s="75">
        <f>SUM(W49:W50)</f>
        <v>559042.09</v>
      </c>
      <c r="X48" s="77">
        <f>W48/R48</f>
        <v>0.18580796281727477</v>
      </c>
      <c r="Y48" s="42"/>
    </row>
    <row r="49" spans="1:25" s="58" customFormat="1" ht="39" customHeight="1" x14ac:dyDescent="0.2">
      <c r="A49" s="44" t="s">
        <v>45</v>
      </c>
      <c r="B49" s="45" t="s">
        <v>46</v>
      </c>
      <c r="C49" s="46" t="s">
        <v>64</v>
      </c>
      <c r="D49" s="47" t="s">
        <v>76</v>
      </c>
      <c r="E49" s="48" t="s">
        <v>62</v>
      </c>
      <c r="F49" s="49" t="s">
        <v>78</v>
      </c>
      <c r="G49" s="50">
        <v>1</v>
      </c>
      <c r="H49" s="46" t="s">
        <v>49</v>
      </c>
      <c r="I49" s="51" t="s">
        <v>50</v>
      </c>
      <c r="J49" s="52">
        <v>1</v>
      </c>
      <c r="K49" s="53">
        <v>3002709</v>
      </c>
      <c r="L49" s="54">
        <v>0</v>
      </c>
      <c r="M49" s="54">
        <v>0</v>
      </c>
      <c r="N49" s="53">
        <f t="shared" si="18"/>
        <v>3002709</v>
      </c>
      <c r="O49" s="54">
        <v>0</v>
      </c>
      <c r="P49" s="54">
        <v>0</v>
      </c>
      <c r="Q49" s="54">
        <v>0</v>
      </c>
      <c r="R49" s="53">
        <f t="shared" si="19"/>
        <v>3002709</v>
      </c>
      <c r="S49" s="54">
        <f>197159.52+186889.82+174992.75</f>
        <v>559042.09</v>
      </c>
      <c r="T49" s="55">
        <f>S49/R49</f>
        <v>0.18617924347647408</v>
      </c>
      <c r="U49" s="54">
        <f>197159.52+186889.82+174992.75</f>
        <v>559042.09</v>
      </c>
      <c r="V49" s="55">
        <f t="shared" si="20"/>
        <v>0.18617924347647408</v>
      </c>
      <c r="W49" s="54">
        <f>197159.52+186889.82+174992.75</f>
        <v>559042.09</v>
      </c>
      <c r="X49" s="56">
        <f t="shared" si="21"/>
        <v>0.18617924347647408</v>
      </c>
      <c r="Y49" s="57"/>
    </row>
    <row r="50" spans="1:25" s="58" customFormat="1" ht="39" customHeight="1" x14ac:dyDescent="0.2">
      <c r="A50" s="44" t="s">
        <v>45</v>
      </c>
      <c r="B50" s="45" t="s">
        <v>46</v>
      </c>
      <c r="C50" s="46" t="s">
        <v>64</v>
      </c>
      <c r="D50" s="47" t="s">
        <v>76</v>
      </c>
      <c r="E50" s="48" t="s">
        <v>62</v>
      </c>
      <c r="F50" s="49" t="s">
        <v>78</v>
      </c>
      <c r="G50" s="50">
        <v>1</v>
      </c>
      <c r="H50" s="46" t="s">
        <v>49</v>
      </c>
      <c r="I50" s="51" t="s">
        <v>50</v>
      </c>
      <c r="J50" s="52">
        <v>3</v>
      </c>
      <c r="K50" s="53">
        <v>6000</v>
      </c>
      <c r="L50" s="54">
        <v>0</v>
      </c>
      <c r="M50" s="54">
        <v>0</v>
      </c>
      <c r="N50" s="53">
        <f t="shared" si="18"/>
        <v>6000</v>
      </c>
      <c r="O50" s="54">
        <v>0</v>
      </c>
      <c r="P50" s="54">
        <v>0</v>
      </c>
      <c r="Q50" s="54">
        <v>0</v>
      </c>
      <c r="R50" s="53">
        <f t="shared" si="19"/>
        <v>6000</v>
      </c>
      <c r="S50" s="54">
        <v>0</v>
      </c>
      <c r="T50" s="55">
        <f>S50/R50</f>
        <v>0</v>
      </c>
      <c r="U50" s="54">
        <v>0</v>
      </c>
      <c r="V50" s="55">
        <f t="shared" si="20"/>
        <v>0</v>
      </c>
      <c r="W50" s="54">
        <v>0</v>
      </c>
      <c r="X50" s="56">
        <f t="shared" si="21"/>
        <v>0</v>
      </c>
      <c r="Y50" s="57"/>
    </row>
    <row r="51" spans="1:25" s="41" customFormat="1" ht="9" customHeight="1" x14ac:dyDescent="0.2">
      <c r="A51" s="59"/>
      <c r="B51" s="60"/>
      <c r="C51" s="61"/>
      <c r="D51" s="62"/>
      <c r="E51" s="63"/>
      <c r="F51" s="64"/>
      <c r="G51" s="65"/>
      <c r="H51" s="61"/>
      <c r="I51" s="66"/>
      <c r="J51" s="67"/>
      <c r="K51" s="68"/>
      <c r="L51" s="69"/>
      <c r="M51" s="69"/>
      <c r="N51" s="68"/>
      <c r="O51" s="69"/>
      <c r="P51" s="69"/>
      <c r="Q51" s="69"/>
      <c r="R51" s="68"/>
      <c r="S51" s="69"/>
      <c r="T51" s="70"/>
      <c r="U51" s="69"/>
      <c r="V51" s="70"/>
      <c r="W51" s="69"/>
      <c r="X51" s="71"/>
    </row>
    <row r="52" spans="1:25" s="43" customFormat="1" ht="39" customHeight="1" x14ac:dyDescent="0.2">
      <c r="A52" s="72" t="s">
        <v>45</v>
      </c>
      <c r="B52" s="195" t="s">
        <v>46</v>
      </c>
      <c r="C52" s="196"/>
      <c r="D52" s="73" t="s">
        <v>79</v>
      </c>
      <c r="E52" s="74" t="s">
        <v>62</v>
      </c>
      <c r="F52" s="195" t="s">
        <v>80</v>
      </c>
      <c r="G52" s="197"/>
      <c r="H52" s="197"/>
      <c r="I52" s="197"/>
      <c r="J52" s="196"/>
      <c r="K52" s="75">
        <f t="shared" ref="K52:S52" si="28">SUM(K53:K53)</f>
        <v>11751402</v>
      </c>
      <c r="L52" s="75">
        <f t="shared" si="28"/>
        <v>0</v>
      </c>
      <c r="M52" s="75">
        <f t="shared" si="28"/>
        <v>0</v>
      </c>
      <c r="N52" s="75">
        <f t="shared" si="28"/>
        <v>11751402</v>
      </c>
      <c r="O52" s="75">
        <f t="shared" si="28"/>
        <v>0</v>
      </c>
      <c r="P52" s="75">
        <f t="shared" si="28"/>
        <v>0</v>
      </c>
      <c r="Q52" s="75">
        <f t="shared" si="28"/>
        <v>-3220585.8699999996</v>
      </c>
      <c r="R52" s="75">
        <f t="shared" si="28"/>
        <v>8530816.1300000008</v>
      </c>
      <c r="S52" s="75">
        <f t="shared" si="28"/>
        <v>0</v>
      </c>
      <c r="T52" s="76">
        <f>S52/R52</f>
        <v>0</v>
      </c>
      <c r="U52" s="75">
        <f>SUM(U53:U53)</f>
        <v>0</v>
      </c>
      <c r="V52" s="76">
        <f>U52/R52</f>
        <v>0</v>
      </c>
      <c r="W52" s="75">
        <f>SUM(W53:W53)</f>
        <v>0</v>
      </c>
      <c r="X52" s="77">
        <f>W52/R52</f>
        <v>0</v>
      </c>
      <c r="Y52" s="42"/>
    </row>
    <row r="53" spans="1:25" s="58" customFormat="1" ht="39" customHeight="1" x14ac:dyDescent="0.2">
      <c r="A53" s="44" t="s">
        <v>45</v>
      </c>
      <c r="B53" s="45" t="s">
        <v>46</v>
      </c>
      <c r="C53" s="46" t="s">
        <v>64</v>
      </c>
      <c r="D53" s="47" t="s">
        <v>79</v>
      </c>
      <c r="E53" s="48" t="s">
        <v>62</v>
      </c>
      <c r="F53" s="49" t="s">
        <v>81</v>
      </c>
      <c r="G53" s="50">
        <v>1</v>
      </c>
      <c r="H53" s="46" t="s">
        <v>49</v>
      </c>
      <c r="I53" s="51" t="s">
        <v>50</v>
      </c>
      <c r="J53" s="52">
        <v>3</v>
      </c>
      <c r="K53" s="53">
        <v>11751402</v>
      </c>
      <c r="L53" s="54">
        <v>0</v>
      </c>
      <c r="M53" s="54">
        <v>0</v>
      </c>
      <c r="N53" s="53">
        <f t="shared" si="18"/>
        <v>11751402</v>
      </c>
      <c r="O53" s="54">
        <v>0</v>
      </c>
      <c r="P53" s="54">
        <v>0</v>
      </c>
      <c r="Q53" s="54">
        <f>-1011223.55-1208498.67-1000863.65</f>
        <v>-3220585.8699999996</v>
      </c>
      <c r="R53" s="53">
        <f t="shared" si="19"/>
        <v>8530816.1300000008</v>
      </c>
      <c r="S53" s="54">
        <v>0</v>
      </c>
      <c r="T53" s="55">
        <f>S53/R53</f>
        <v>0</v>
      </c>
      <c r="U53" s="54">
        <v>0</v>
      </c>
      <c r="V53" s="55">
        <f t="shared" si="20"/>
        <v>0</v>
      </c>
      <c r="W53" s="54">
        <v>0</v>
      </c>
      <c r="X53" s="56">
        <f t="shared" si="21"/>
        <v>0</v>
      </c>
      <c r="Y53" s="57"/>
    </row>
    <row r="54" spans="1:25" s="41" customFormat="1" ht="9" customHeight="1" x14ac:dyDescent="0.2">
      <c r="A54" s="59"/>
      <c r="B54" s="60"/>
      <c r="C54" s="61"/>
      <c r="D54" s="62"/>
      <c r="E54" s="63"/>
      <c r="F54" s="64"/>
      <c r="G54" s="65"/>
      <c r="H54" s="61"/>
      <c r="I54" s="66"/>
      <c r="J54" s="67"/>
      <c r="K54" s="68"/>
      <c r="L54" s="69"/>
      <c r="M54" s="69"/>
      <c r="N54" s="68"/>
      <c r="O54" s="69"/>
      <c r="P54" s="69"/>
      <c r="Q54" s="69"/>
      <c r="R54" s="68"/>
      <c r="S54" s="69"/>
      <c r="T54" s="70"/>
      <c r="U54" s="69"/>
      <c r="V54" s="70"/>
      <c r="W54" s="69"/>
      <c r="X54" s="71"/>
    </row>
    <row r="55" spans="1:25" s="43" customFormat="1" ht="39" customHeight="1" x14ac:dyDescent="0.2">
      <c r="A55" s="72" t="s">
        <v>45</v>
      </c>
      <c r="B55" s="195" t="s">
        <v>46</v>
      </c>
      <c r="C55" s="196"/>
      <c r="D55" s="73" t="s">
        <v>82</v>
      </c>
      <c r="E55" s="74" t="s">
        <v>62</v>
      </c>
      <c r="F55" s="195" t="s">
        <v>83</v>
      </c>
      <c r="G55" s="197"/>
      <c r="H55" s="197"/>
      <c r="I55" s="197"/>
      <c r="J55" s="196"/>
      <c r="K55" s="75">
        <f t="shared" ref="K55:S55" si="29">SUM(K56:K56)</f>
        <v>15607066</v>
      </c>
      <c r="L55" s="75">
        <f t="shared" si="29"/>
        <v>0</v>
      </c>
      <c r="M55" s="75">
        <f t="shared" si="29"/>
        <v>0</v>
      </c>
      <c r="N55" s="75">
        <f t="shared" si="29"/>
        <v>15607066</v>
      </c>
      <c r="O55" s="75">
        <f t="shared" si="29"/>
        <v>0</v>
      </c>
      <c r="P55" s="75">
        <f t="shared" si="29"/>
        <v>0</v>
      </c>
      <c r="Q55" s="75">
        <f t="shared" si="29"/>
        <v>0</v>
      </c>
      <c r="R55" s="75">
        <f t="shared" si="29"/>
        <v>15607066</v>
      </c>
      <c r="S55" s="75">
        <f t="shared" si="29"/>
        <v>5936523.7700000005</v>
      </c>
      <c r="T55" s="76">
        <f>S55/R55</f>
        <v>0.38037410554937107</v>
      </c>
      <c r="U55" s="75">
        <f>SUM(U56:U56)</f>
        <v>5936523.7700000005</v>
      </c>
      <c r="V55" s="76">
        <f>U55/R55</f>
        <v>0.38037410554937107</v>
      </c>
      <c r="W55" s="75">
        <f>SUM(W56:W56)</f>
        <v>3951473.1500000004</v>
      </c>
      <c r="X55" s="77">
        <f>W55/R55</f>
        <v>0.25318488113012405</v>
      </c>
      <c r="Y55" s="42"/>
    </row>
    <row r="56" spans="1:25" s="58" customFormat="1" ht="39" customHeight="1" x14ac:dyDescent="0.2">
      <c r="A56" s="44" t="s">
        <v>45</v>
      </c>
      <c r="B56" s="45" t="s">
        <v>46</v>
      </c>
      <c r="C56" s="46" t="s">
        <v>64</v>
      </c>
      <c r="D56" s="47" t="s">
        <v>82</v>
      </c>
      <c r="E56" s="48" t="s">
        <v>62</v>
      </c>
      <c r="F56" s="49" t="s">
        <v>84</v>
      </c>
      <c r="G56" s="50">
        <v>1</v>
      </c>
      <c r="H56" s="46" t="s">
        <v>49</v>
      </c>
      <c r="I56" s="51" t="s">
        <v>50</v>
      </c>
      <c r="J56" s="52">
        <v>1</v>
      </c>
      <c r="K56" s="53">
        <v>15607066</v>
      </c>
      <c r="L56" s="54">
        <v>0</v>
      </c>
      <c r="M56" s="54">
        <v>0</v>
      </c>
      <c r="N56" s="53">
        <f t="shared" si="18"/>
        <v>15607066</v>
      </c>
      <c r="O56" s="54">
        <v>0</v>
      </c>
      <c r="P56" s="54">
        <v>0</v>
      </c>
      <c r="Q56" s="54">
        <v>0</v>
      </c>
      <c r="R56" s="53">
        <f t="shared" si="19"/>
        <v>15607066</v>
      </c>
      <c r="S56" s="54">
        <f>1990355.54+1961117.61+1985050.62</f>
        <v>5936523.7700000005</v>
      </c>
      <c r="T56" s="55">
        <f>S56/R56</f>
        <v>0.38037410554937107</v>
      </c>
      <c r="U56" s="54">
        <f>1990355.54+1961117.61+1985050.62</f>
        <v>5936523.7700000005</v>
      </c>
      <c r="V56" s="55">
        <f t="shared" si="20"/>
        <v>0.38037410554937107</v>
      </c>
      <c r="W56" s="54">
        <f>1990355.54+1961117.61</f>
        <v>3951473.1500000004</v>
      </c>
      <c r="X56" s="56">
        <f t="shared" si="21"/>
        <v>0.25318488113012405</v>
      </c>
      <c r="Y56" s="57"/>
    </row>
    <row r="57" spans="1:25" s="41" customFormat="1" ht="9" customHeight="1" x14ac:dyDescent="0.2">
      <c r="A57" s="59"/>
      <c r="B57" s="60"/>
      <c r="C57" s="61"/>
      <c r="D57" s="62"/>
      <c r="E57" s="63"/>
      <c r="F57" s="64"/>
      <c r="G57" s="65"/>
      <c r="H57" s="61"/>
      <c r="I57" s="66"/>
      <c r="J57" s="67"/>
      <c r="K57" s="68"/>
      <c r="L57" s="69"/>
      <c r="M57" s="69"/>
      <c r="N57" s="68"/>
      <c r="O57" s="69"/>
      <c r="P57" s="69"/>
      <c r="Q57" s="69"/>
      <c r="R57" s="68"/>
      <c r="S57" s="69"/>
      <c r="T57" s="70"/>
      <c r="U57" s="69"/>
      <c r="V57" s="70"/>
      <c r="W57" s="69"/>
      <c r="X57" s="71"/>
    </row>
    <row r="58" spans="1:25" s="43" customFormat="1" ht="39" customHeight="1" x14ac:dyDescent="0.2">
      <c r="A58" s="72" t="s">
        <v>45</v>
      </c>
      <c r="B58" s="195" t="s">
        <v>46</v>
      </c>
      <c r="C58" s="196"/>
      <c r="D58" s="73" t="s">
        <v>85</v>
      </c>
      <c r="E58" s="74" t="s">
        <v>62</v>
      </c>
      <c r="F58" s="195" t="s">
        <v>86</v>
      </c>
      <c r="G58" s="197"/>
      <c r="H58" s="197"/>
      <c r="I58" s="197"/>
      <c r="J58" s="196"/>
      <c r="K58" s="75">
        <f t="shared" ref="K58:S58" si="30">SUM(K59:K59)</f>
        <v>8556424</v>
      </c>
      <c r="L58" s="75">
        <f t="shared" si="30"/>
        <v>0</v>
      </c>
      <c r="M58" s="75">
        <f t="shared" si="30"/>
        <v>0</v>
      </c>
      <c r="N58" s="75">
        <f t="shared" si="30"/>
        <v>8556424</v>
      </c>
      <c r="O58" s="75">
        <f t="shared" si="30"/>
        <v>0</v>
      </c>
      <c r="P58" s="75">
        <f t="shared" si="30"/>
        <v>0</v>
      </c>
      <c r="Q58" s="75">
        <f t="shared" si="30"/>
        <v>0</v>
      </c>
      <c r="R58" s="75">
        <f t="shared" si="30"/>
        <v>8556424</v>
      </c>
      <c r="S58" s="75">
        <f t="shared" si="30"/>
        <v>0</v>
      </c>
      <c r="T58" s="76">
        <f>S58/R58</f>
        <v>0</v>
      </c>
      <c r="U58" s="75">
        <f>SUM(U59:U59)</f>
        <v>0</v>
      </c>
      <c r="V58" s="76">
        <f>U58/R58</f>
        <v>0</v>
      </c>
      <c r="W58" s="75">
        <f>SUM(W59:W59)</f>
        <v>0</v>
      </c>
      <c r="X58" s="77">
        <f>W58/R58</f>
        <v>0</v>
      </c>
      <c r="Y58" s="42"/>
    </row>
    <row r="59" spans="1:25" s="58" customFormat="1" ht="39" customHeight="1" x14ac:dyDescent="0.2">
      <c r="A59" s="44" t="s">
        <v>45</v>
      </c>
      <c r="B59" s="45" t="s">
        <v>46</v>
      </c>
      <c r="C59" s="46" t="s">
        <v>64</v>
      </c>
      <c r="D59" s="47" t="s">
        <v>85</v>
      </c>
      <c r="E59" s="48" t="s">
        <v>62</v>
      </c>
      <c r="F59" s="49" t="s">
        <v>87</v>
      </c>
      <c r="G59" s="50">
        <v>1</v>
      </c>
      <c r="H59" s="46" t="s">
        <v>49</v>
      </c>
      <c r="I59" s="51" t="s">
        <v>50</v>
      </c>
      <c r="J59" s="52">
        <v>1</v>
      </c>
      <c r="K59" s="53">
        <v>8556424</v>
      </c>
      <c r="L59" s="54">
        <v>0</v>
      </c>
      <c r="M59" s="54">
        <v>0</v>
      </c>
      <c r="N59" s="53">
        <f t="shared" ref="N59" si="31">K59+L59-M59</f>
        <v>8556424</v>
      </c>
      <c r="O59" s="54">
        <v>0</v>
      </c>
      <c r="P59" s="54">
        <v>0</v>
      </c>
      <c r="Q59" s="54">
        <v>0</v>
      </c>
      <c r="R59" s="53">
        <f t="shared" ref="R59" si="32">N59-O59+P59+Q59</f>
        <v>8556424</v>
      </c>
      <c r="S59" s="54">
        <v>0</v>
      </c>
      <c r="T59" s="55">
        <f>S59/R59</f>
        <v>0</v>
      </c>
      <c r="U59" s="54">
        <v>0</v>
      </c>
      <c r="V59" s="55">
        <f t="shared" ref="V59" si="33">U59/R59</f>
        <v>0</v>
      </c>
      <c r="W59" s="54">
        <v>0</v>
      </c>
      <c r="X59" s="56">
        <f t="shared" ref="X59" si="34">W59/R59</f>
        <v>0</v>
      </c>
      <c r="Y59" s="57"/>
    </row>
    <row r="60" spans="1:25" s="41" customFormat="1" ht="9" customHeight="1" x14ac:dyDescent="0.2">
      <c r="A60" s="59"/>
      <c r="B60" s="60"/>
      <c r="C60" s="61"/>
      <c r="D60" s="62"/>
      <c r="E60" s="63"/>
      <c r="F60" s="64"/>
      <c r="G60" s="65"/>
      <c r="H60" s="61"/>
      <c r="I60" s="66"/>
      <c r="J60" s="67"/>
      <c r="K60" s="68"/>
      <c r="L60" s="69"/>
      <c r="M60" s="69"/>
      <c r="N60" s="68"/>
      <c r="O60" s="69"/>
      <c r="P60" s="69"/>
      <c r="Q60" s="69"/>
      <c r="R60" s="68"/>
      <c r="S60" s="69"/>
      <c r="T60" s="70"/>
      <c r="U60" s="69"/>
      <c r="V60" s="70"/>
      <c r="W60" s="69"/>
      <c r="X60" s="71"/>
    </row>
    <row r="61" spans="1:25" s="43" customFormat="1" ht="39" customHeight="1" x14ac:dyDescent="0.2">
      <c r="A61" s="72" t="s">
        <v>45</v>
      </c>
      <c r="B61" s="195" t="s">
        <v>46</v>
      </c>
      <c r="C61" s="196"/>
      <c r="D61" s="73" t="s">
        <v>88</v>
      </c>
      <c r="E61" s="74" t="s">
        <v>62</v>
      </c>
      <c r="F61" s="195" t="s">
        <v>89</v>
      </c>
      <c r="G61" s="197"/>
      <c r="H61" s="197"/>
      <c r="I61" s="197"/>
      <c r="J61" s="196"/>
      <c r="K61" s="75">
        <f>SUM(K62:K63)</f>
        <v>10959557</v>
      </c>
      <c r="L61" s="75">
        <f t="shared" ref="L61:W61" si="35">SUM(L62:L63)</f>
        <v>0</v>
      </c>
      <c r="M61" s="75">
        <f t="shared" si="35"/>
        <v>4000000</v>
      </c>
      <c r="N61" s="75">
        <f t="shared" si="35"/>
        <v>6959557</v>
      </c>
      <c r="O61" s="75">
        <f t="shared" si="35"/>
        <v>0</v>
      </c>
      <c r="P61" s="75">
        <f t="shared" si="35"/>
        <v>0</v>
      </c>
      <c r="Q61" s="75">
        <f t="shared" si="35"/>
        <v>0</v>
      </c>
      <c r="R61" s="75">
        <f t="shared" si="35"/>
        <v>6959557</v>
      </c>
      <c r="S61" s="75">
        <f t="shared" si="35"/>
        <v>609351.82999999996</v>
      </c>
      <c r="T61" s="76">
        <f>S61/R61</f>
        <v>8.7556123184277385E-2</v>
      </c>
      <c r="U61" s="75">
        <f t="shared" si="35"/>
        <v>609351.82999999996</v>
      </c>
      <c r="V61" s="76">
        <f>U61/R61</f>
        <v>8.7556123184277385E-2</v>
      </c>
      <c r="W61" s="75">
        <f t="shared" si="35"/>
        <v>609351.82999999996</v>
      </c>
      <c r="X61" s="77">
        <f>W61/R61</f>
        <v>8.7556123184277385E-2</v>
      </c>
      <c r="Y61" s="42"/>
    </row>
    <row r="62" spans="1:25" s="58" customFormat="1" ht="39" customHeight="1" x14ac:dyDescent="0.2">
      <c r="A62" s="44" t="s">
        <v>45</v>
      </c>
      <c r="B62" s="45" t="s">
        <v>46</v>
      </c>
      <c r="C62" s="46" t="s">
        <v>90</v>
      </c>
      <c r="D62" s="47" t="s">
        <v>88</v>
      </c>
      <c r="E62" s="48" t="s">
        <v>62</v>
      </c>
      <c r="F62" s="49" t="s">
        <v>91</v>
      </c>
      <c r="G62" s="50">
        <v>1</v>
      </c>
      <c r="H62" s="46" t="s">
        <v>49</v>
      </c>
      <c r="I62" s="51" t="s">
        <v>50</v>
      </c>
      <c r="J62" s="52">
        <v>3</v>
      </c>
      <c r="K62" s="53">
        <v>9181007</v>
      </c>
      <c r="L62" s="54">
        <v>0</v>
      </c>
      <c r="M62" s="54">
        <f>4000000</f>
        <v>4000000</v>
      </c>
      <c r="N62" s="53">
        <f t="shared" si="18"/>
        <v>5181007</v>
      </c>
      <c r="O62" s="54">
        <v>0</v>
      </c>
      <c r="P62" s="54">
        <v>0</v>
      </c>
      <c r="Q62" s="54">
        <v>0</v>
      </c>
      <c r="R62" s="53">
        <f t="shared" si="19"/>
        <v>5181007</v>
      </c>
      <c r="S62" s="54">
        <f>27638.91+26711.18+555001.74</f>
        <v>609351.82999999996</v>
      </c>
      <c r="T62" s="55">
        <f>S62/R62</f>
        <v>0.11761262434117536</v>
      </c>
      <c r="U62" s="54">
        <f>27638.91+26711.18+555001.74</f>
        <v>609351.82999999996</v>
      </c>
      <c r="V62" s="55">
        <f t="shared" si="20"/>
        <v>0.11761262434117536</v>
      </c>
      <c r="W62" s="54">
        <f>27638.91+26711.18+555001.74</f>
        <v>609351.82999999996</v>
      </c>
      <c r="X62" s="56">
        <f t="shared" si="21"/>
        <v>0.11761262434117536</v>
      </c>
      <c r="Y62" s="57"/>
    </row>
    <row r="63" spans="1:25" s="58" customFormat="1" ht="39" customHeight="1" x14ac:dyDescent="0.2">
      <c r="A63" s="44" t="s">
        <v>45</v>
      </c>
      <c r="B63" s="45" t="s">
        <v>46</v>
      </c>
      <c r="C63" s="46" t="s">
        <v>90</v>
      </c>
      <c r="D63" s="47" t="s">
        <v>88</v>
      </c>
      <c r="E63" s="48" t="s">
        <v>62</v>
      </c>
      <c r="F63" s="49" t="s">
        <v>91</v>
      </c>
      <c r="G63" s="50">
        <v>1</v>
      </c>
      <c r="H63" s="46" t="s">
        <v>65</v>
      </c>
      <c r="I63" s="51" t="s">
        <v>66</v>
      </c>
      <c r="J63" s="52">
        <v>3</v>
      </c>
      <c r="K63" s="53">
        <v>1778550</v>
      </c>
      <c r="L63" s="54">
        <v>0</v>
      </c>
      <c r="M63" s="54">
        <v>0</v>
      </c>
      <c r="N63" s="53">
        <f t="shared" si="18"/>
        <v>1778550</v>
      </c>
      <c r="O63" s="54">
        <v>0</v>
      </c>
      <c r="P63" s="54">
        <v>0</v>
      </c>
      <c r="Q63" s="54">
        <v>0</v>
      </c>
      <c r="R63" s="53">
        <f t="shared" si="19"/>
        <v>1778550</v>
      </c>
      <c r="S63" s="54">
        <v>0</v>
      </c>
      <c r="T63" s="55">
        <f>S63/R63</f>
        <v>0</v>
      </c>
      <c r="U63" s="54">
        <v>0</v>
      </c>
      <c r="V63" s="55">
        <f t="shared" si="20"/>
        <v>0</v>
      </c>
      <c r="W63" s="54">
        <v>0</v>
      </c>
      <c r="X63" s="56">
        <f t="shared" si="21"/>
        <v>0</v>
      </c>
      <c r="Y63" s="57"/>
    </row>
    <row r="64" spans="1:25" s="41" customFormat="1" ht="9" customHeight="1" x14ac:dyDescent="0.2">
      <c r="A64" s="59"/>
      <c r="B64" s="60"/>
      <c r="C64" s="61"/>
      <c r="D64" s="62"/>
      <c r="E64" s="63"/>
      <c r="F64" s="64"/>
      <c r="G64" s="65"/>
      <c r="H64" s="61"/>
      <c r="I64" s="66"/>
      <c r="J64" s="67"/>
      <c r="K64" s="68"/>
      <c r="L64" s="69"/>
      <c r="M64" s="69"/>
      <c r="N64" s="68"/>
      <c r="O64" s="69"/>
      <c r="P64" s="69"/>
      <c r="Q64" s="69"/>
      <c r="R64" s="68"/>
      <c r="S64" s="69"/>
      <c r="T64" s="70"/>
      <c r="U64" s="69"/>
      <c r="V64" s="70"/>
      <c r="W64" s="69"/>
      <c r="X64" s="71"/>
    </row>
    <row r="65" spans="1:25" s="43" customFormat="1" ht="39" customHeight="1" x14ac:dyDescent="0.2">
      <c r="A65" s="72" t="s">
        <v>45</v>
      </c>
      <c r="B65" s="195" t="s">
        <v>46</v>
      </c>
      <c r="C65" s="196"/>
      <c r="D65" s="73" t="s">
        <v>266</v>
      </c>
      <c r="E65" s="74" t="s">
        <v>62</v>
      </c>
      <c r="F65" s="195" t="s">
        <v>219</v>
      </c>
      <c r="G65" s="197"/>
      <c r="H65" s="197"/>
      <c r="I65" s="197"/>
      <c r="J65" s="196"/>
      <c r="K65" s="75">
        <f>K66</f>
        <v>1209805</v>
      </c>
      <c r="L65" s="75">
        <f t="shared" ref="L65:S65" si="36">L66</f>
        <v>0</v>
      </c>
      <c r="M65" s="75">
        <f t="shared" si="36"/>
        <v>0</v>
      </c>
      <c r="N65" s="75">
        <f t="shared" si="36"/>
        <v>1209805</v>
      </c>
      <c r="O65" s="75">
        <f t="shared" si="36"/>
        <v>0</v>
      </c>
      <c r="P65" s="75">
        <f t="shared" si="36"/>
        <v>0</v>
      </c>
      <c r="Q65" s="75">
        <f t="shared" si="36"/>
        <v>0</v>
      </c>
      <c r="R65" s="75">
        <f t="shared" si="36"/>
        <v>1209805</v>
      </c>
      <c r="S65" s="75">
        <f t="shared" si="36"/>
        <v>47236.959999999999</v>
      </c>
      <c r="T65" s="76">
        <f>S65/R65</f>
        <v>3.9045102309876387E-2</v>
      </c>
      <c r="U65" s="75">
        <f>U66</f>
        <v>47236.959999999999</v>
      </c>
      <c r="V65" s="76">
        <f>U65/R65</f>
        <v>3.9045102309876387E-2</v>
      </c>
      <c r="W65" s="75">
        <f>W66</f>
        <v>47236.959999999999</v>
      </c>
      <c r="X65" s="77">
        <f>W65/R65</f>
        <v>3.9045102309876387E-2</v>
      </c>
      <c r="Y65" s="42"/>
    </row>
    <row r="66" spans="1:25" s="58" customFormat="1" ht="39" customHeight="1" x14ac:dyDescent="0.2">
      <c r="A66" s="44" t="s">
        <v>45</v>
      </c>
      <c r="B66" s="45" t="s">
        <v>46</v>
      </c>
      <c r="C66" s="46" t="s">
        <v>90</v>
      </c>
      <c r="D66" s="47" t="s">
        <v>266</v>
      </c>
      <c r="E66" s="48" t="s">
        <v>62</v>
      </c>
      <c r="F66" s="49" t="s">
        <v>265</v>
      </c>
      <c r="G66" s="50">
        <v>1</v>
      </c>
      <c r="H66" s="46" t="s">
        <v>49</v>
      </c>
      <c r="I66" s="51" t="s">
        <v>50</v>
      </c>
      <c r="J66" s="52">
        <v>3</v>
      </c>
      <c r="K66" s="53">
        <v>1209805</v>
      </c>
      <c r="L66" s="54">
        <v>0</v>
      </c>
      <c r="M66" s="54">
        <v>0</v>
      </c>
      <c r="N66" s="53">
        <f t="shared" ref="N66" si="37">K66+L66-M66</f>
        <v>1209805</v>
      </c>
      <c r="O66" s="54">
        <v>0</v>
      </c>
      <c r="P66" s="54">
        <v>0</v>
      </c>
      <c r="Q66" s="54">
        <v>0</v>
      </c>
      <c r="R66" s="53">
        <f t="shared" ref="R66" si="38">N66-O66+P66+Q66</f>
        <v>1209805</v>
      </c>
      <c r="S66" s="54">
        <f>47236.96</f>
        <v>47236.959999999999</v>
      </c>
      <c r="T66" s="55">
        <f>S66/R66</f>
        <v>3.9045102309876387E-2</v>
      </c>
      <c r="U66" s="54">
        <f>47236.96</f>
        <v>47236.959999999999</v>
      </c>
      <c r="V66" s="55">
        <f t="shared" ref="V66" si="39">U66/R66</f>
        <v>3.9045102309876387E-2</v>
      </c>
      <c r="W66" s="54">
        <f>47236.96</f>
        <v>47236.959999999999</v>
      </c>
      <c r="X66" s="56">
        <f t="shared" ref="X66" si="40">W66/R66</f>
        <v>3.9045102309876387E-2</v>
      </c>
      <c r="Y66" s="57"/>
    </row>
    <row r="67" spans="1:25" s="41" customFormat="1" ht="9" customHeight="1" x14ac:dyDescent="0.2">
      <c r="A67" s="59"/>
      <c r="B67" s="60"/>
      <c r="C67" s="61"/>
      <c r="D67" s="62"/>
      <c r="E67" s="63"/>
      <c r="F67" s="64"/>
      <c r="G67" s="65"/>
      <c r="H67" s="61"/>
      <c r="I67" s="66"/>
      <c r="J67" s="67"/>
      <c r="K67" s="68"/>
      <c r="L67" s="69"/>
      <c r="M67" s="69"/>
      <c r="N67" s="68"/>
      <c r="O67" s="69"/>
      <c r="P67" s="69"/>
      <c r="Q67" s="69"/>
      <c r="R67" s="68"/>
      <c r="S67" s="69"/>
      <c r="T67" s="70"/>
      <c r="U67" s="69"/>
      <c r="V67" s="70"/>
      <c r="W67" s="69"/>
      <c r="X67" s="71"/>
    </row>
    <row r="68" spans="1:25" s="43" customFormat="1" ht="39" customHeight="1" x14ac:dyDescent="0.2">
      <c r="A68" s="72" t="s">
        <v>45</v>
      </c>
      <c r="B68" s="195" t="s">
        <v>46</v>
      </c>
      <c r="C68" s="196"/>
      <c r="D68" s="73" t="s">
        <v>92</v>
      </c>
      <c r="E68" s="74" t="s">
        <v>62</v>
      </c>
      <c r="F68" s="195" t="s">
        <v>93</v>
      </c>
      <c r="G68" s="197"/>
      <c r="H68" s="197"/>
      <c r="I68" s="197"/>
      <c r="J68" s="196"/>
      <c r="K68" s="75">
        <f>SUM(K69:K70)</f>
        <v>5222560</v>
      </c>
      <c r="L68" s="75">
        <f t="shared" ref="L68:W68" si="41">SUM(L69:L70)</f>
        <v>0</v>
      </c>
      <c r="M68" s="75">
        <f t="shared" si="41"/>
        <v>2000000</v>
      </c>
      <c r="N68" s="75">
        <f t="shared" si="41"/>
        <v>3222560</v>
      </c>
      <c r="O68" s="75">
        <f t="shared" si="41"/>
        <v>0</v>
      </c>
      <c r="P68" s="75">
        <f t="shared" si="41"/>
        <v>0</v>
      </c>
      <c r="Q68" s="75">
        <f t="shared" si="41"/>
        <v>0</v>
      </c>
      <c r="R68" s="75">
        <f t="shared" si="41"/>
        <v>3222560</v>
      </c>
      <c r="S68" s="75">
        <f t="shared" si="41"/>
        <v>223941.6</v>
      </c>
      <c r="T68" s="76">
        <f>S68/R68</f>
        <v>6.9491832580308818E-2</v>
      </c>
      <c r="U68" s="75">
        <f t="shared" si="41"/>
        <v>223941.6</v>
      </c>
      <c r="V68" s="76">
        <f>U68/R68</f>
        <v>6.9491832580308818E-2</v>
      </c>
      <c r="W68" s="75">
        <f t="shared" si="41"/>
        <v>223941.6</v>
      </c>
      <c r="X68" s="77">
        <f>W68/R68</f>
        <v>6.9491832580308818E-2</v>
      </c>
      <c r="Y68" s="42"/>
    </row>
    <row r="69" spans="1:25" s="58" customFormat="1" ht="39" customHeight="1" x14ac:dyDescent="0.2">
      <c r="A69" s="44" t="s">
        <v>45</v>
      </c>
      <c r="B69" s="45" t="s">
        <v>46</v>
      </c>
      <c r="C69" s="46" t="s">
        <v>90</v>
      </c>
      <c r="D69" s="47" t="s">
        <v>92</v>
      </c>
      <c r="E69" s="48" t="s">
        <v>62</v>
      </c>
      <c r="F69" s="49" t="s">
        <v>94</v>
      </c>
      <c r="G69" s="50">
        <v>1</v>
      </c>
      <c r="H69" s="46" t="s">
        <v>49</v>
      </c>
      <c r="I69" s="51" t="s">
        <v>50</v>
      </c>
      <c r="J69" s="52">
        <v>3</v>
      </c>
      <c r="K69" s="53">
        <v>4222560</v>
      </c>
      <c r="L69" s="54">
        <v>0</v>
      </c>
      <c r="M69" s="54">
        <f>2000000</f>
        <v>2000000</v>
      </c>
      <c r="N69" s="53">
        <f>K69+L69-M69</f>
        <v>2222560</v>
      </c>
      <c r="O69" s="54">
        <v>0</v>
      </c>
      <c r="P69" s="54">
        <v>0</v>
      </c>
      <c r="Q69" s="54">
        <v>0</v>
      </c>
      <c r="R69" s="53">
        <f t="shared" si="19"/>
        <v>2222560</v>
      </c>
      <c r="S69" s="54">
        <f>4059.6+3657.85+216224.15</f>
        <v>223941.6</v>
      </c>
      <c r="T69" s="55">
        <f>S69/R69</f>
        <v>0.10075840472248218</v>
      </c>
      <c r="U69" s="54">
        <f>4059.6+3657.85+216224.15</f>
        <v>223941.6</v>
      </c>
      <c r="V69" s="55">
        <f t="shared" si="20"/>
        <v>0.10075840472248218</v>
      </c>
      <c r="W69" s="54">
        <f>4059.6+3657.85+216224.15</f>
        <v>223941.6</v>
      </c>
      <c r="X69" s="56">
        <f t="shared" si="21"/>
        <v>0.10075840472248218</v>
      </c>
      <c r="Y69" s="57"/>
    </row>
    <row r="70" spans="1:25" s="58" customFormat="1" ht="39" customHeight="1" x14ac:dyDescent="0.2">
      <c r="A70" s="44" t="s">
        <v>45</v>
      </c>
      <c r="B70" s="45" t="s">
        <v>46</v>
      </c>
      <c r="C70" s="46" t="s">
        <v>90</v>
      </c>
      <c r="D70" s="47" t="s">
        <v>92</v>
      </c>
      <c r="E70" s="48" t="s">
        <v>62</v>
      </c>
      <c r="F70" s="49" t="s">
        <v>94</v>
      </c>
      <c r="G70" s="50">
        <v>1</v>
      </c>
      <c r="H70" s="46" t="s">
        <v>65</v>
      </c>
      <c r="I70" s="51" t="s">
        <v>66</v>
      </c>
      <c r="J70" s="52">
        <v>3</v>
      </c>
      <c r="K70" s="53">
        <v>1000000</v>
      </c>
      <c r="L70" s="54">
        <v>0</v>
      </c>
      <c r="M70" s="54">
        <v>0</v>
      </c>
      <c r="N70" s="53">
        <f>K70+L70-M70</f>
        <v>1000000</v>
      </c>
      <c r="O70" s="54">
        <v>0</v>
      </c>
      <c r="P70" s="54">
        <v>0</v>
      </c>
      <c r="Q70" s="54">
        <v>0</v>
      </c>
      <c r="R70" s="53">
        <f t="shared" si="19"/>
        <v>1000000</v>
      </c>
      <c r="S70" s="54">
        <v>0</v>
      </c>
      <c r="T70" s="55">
        <f>S70/R70</f>
        <v>0</v>
      </c>
      <c r="U70" s="54">
        <v>0</v>
      </c>
      <c r="V70" s="55">
        <f t="shared" si="20"/>
        <v>0</v>
      </c>
      <c r="W70" s="54">
        <v>0</v>
      </c>
      <c r="X70" s="56">
        <f t="shared" si="21"/>
        <v>0</v>
      </c>
      <c r="Y70" s="57"/>
    </row>
    <row r="71" spans="1:25" s="41" customFormat="1" ht="9" customHeight="1" x14ac:dyDescent="0.2">
      <c r="A71" s="59"/>
      <c r="B71" s="60"/>
      <c r="C71" s="61"/>
      <c r="D71" s="62"/>
      <c r="E71" s="63"/>
      <c r="F71" s="64"/>
      <c r="G71" s="65"/>
      <c r="H71" s="61"/>
      <c r="I71" s="66"/>
      <c r="J71" s="67"/>
      <c r="K71" s="68"/>
      <c r="L71" s="69"/>
      <c r="M71" s="69"/>
      <c r="N71" s="68"/>
      <c r="O71" s="69"/>
      <c r="P71" s="69"/>
      <c r="Q71" s="69"/>
      <c r="R71" s="68"/>
      <c r="S71" s="69"/>
      <c r="T71" s="70"/>
      <c r="U71" s="69"/>
      <c r="V71" s="70"/>
      <c r="W71" s="69"/>
      <c r="X71" s="71"/>
    </row>
    <row r="72" spans="1:25" s="43" customFormat="1" ht="39" customHeight="1" x14ac:dyDescent="0.2">
      <c r="A72" s="72" t="s">
        <v>45</v>
      </c>
      <c r="B72" s="195" t="s">
        <v>46</v>
      </c>
      <c r="C72" s="196"/>
      <c r="D72" s="73" t="s">
        <v>95</v>
      </c>
      <c r="E72" s="74" t="s">
        <v>62</v>
      </c>
      <c r="F72" s="195" t="s">
        <v>96</v>
      </c>
      <c r="G72" s="197"/>
      <c r="H72" s="197"/>
      <c r="I72" s="197"/>
      <c r="J72" s="196"/>
      <c r="K72" s="75">
        <f>K73</f>
        <v>50957164</v>
      </c>
      <c r="L72" s="75">
        <f t="shared" ref="L72:S72" si="42">L73</f>
        <v>0</v>
      </c>
      <c r="M72" s="75">
        <f t="shared" si="42"/>
        <v>0</v>
      </c>
      <c r="N72" s="75">
        <f t="shared" si="42"/>
        <v>50957164</v>
      </c>
      <c r="O72" s="75">
        <f t="shared" si="42"/>
        <v>0</v>
      </c>
      <c r="P72" s="75">
        <f t="shared" si="42"/>
        <v>0</v>
      </c>
      <c r="Q72" s="75">
        <f t="shared" si="42"/>
        <v>0</v>
      </c>
      <c r="R72" s="75">
        <f t="shared" si="42"/>
        <v>50957164</v>
      </c>
      <c r="S72" s="75">
        <f t="shared" si="42"/>
        <v>12304796.939999999</v>
      </c>
      <c r="T72" s="76">
        <f>S72/R72</f>
        <v>0.24147334690761046</v>
      </c>
      <c r="U72" s="75">
        <f>U73</f>
        <v>12304796.939999999</v>
      </c>
      <c r="V72" s="76">
        <f>U72/R72</f>
        <v>0.24147334690761046</v>
      </c>
      <c r="W72" s="75">
        <f>W73</f>
        <v>12304796.939999999</v>
      </c>
      <c r="X72" s="77">
        <f>W72/R72</f>
        <v>0.24147334690761046</v>
      </c>
      <c r="Y72" s="42"/>
    </row>
    <row r="73" spans="1:25" s="58" customFormat="1" ht="39" customHeight="1" x14ac:dyDescent="0.2">
      <c r="A73" s="44" t="s">
        <v>45</v>
      </c>
      <c r="B73" s="45" t="s">
        <v>46</v>
      </c>
      <c r="C73" s="46" t="s">
        <v>97</v>
      </c>
      <c r="D73" s="47" t="s">
        <v>95</v>
      </c>
      <c r="E73" s="48" t="s">
        <v>62</v>
      </c>
      <c r="F73" s="49" t="s">
        <v>96</v>
      </c>
      <c r="G73" s="50">
        <v>1</v>
      </c>
      <c r="H73" s="46" t="s">
        <v>49</v>
      </c>
      <c r="I73" s="51" t="s">
        <v>50</v>
      </c>
      <c r="J73" s="52">
        <v>3</v>
      </c>
      <c r="K73" s="53">
        <v>50957164</v>
      </c>
      <c r="L73" s="54">
        <v>0</v>
      </c>
      <c r="M73" s="54">
        <v>0</v>
      </c>
      <c r="N73" s="53">
        <f t="shared" ref="N73:N88" si="43">K73+L73-M73</f>
        <v>50957164</v>
      </c>
      <c r="O73" s="54">
        <v>0</v>
      </c>
      <c r="P73" s="54">
        <v>0</v>
      </c>
      <c r="Q73" s="54">
        <v>0</v>
      </c>
      <c r="R73" s="53">
        <f t="shared" si="19"/>
        <v>50957164</v>
      </c>
      <c r="S73" s="54">
        <f>4069973.9+4117777.6+4117045.44</f>
        <v>12304796.939999999</v>
      </c>
      <c r="T73" s="55">
        <f>S73/R73</f>
        <v>0.24147334690761046</v>
      </c>
      <c r="U73" s="54">
        <f>4069973.9+4117777.6+4117045.44</f>
        <v>12304796.939999999</v>
      </c>
      <c r="V73" s="55">
        <f t="shared" si="20"/>
        <v>0.24147334690761046</v>
      </c>
      <c r="W73" s="54">
        <f>4069973.9+4117777.6+4117045.44</f>
        <v>12304796.939999999</v>
      </c>
      <c r="X73" s="56">
        <f t="shared" si="21"/>
        <v>0.24147334690761046</v>
      </c>
      <c r="Y73" s="57"/>
    </row>
    <row r="74" spans="1:25" s="41" customFormat="1" ht="9" customHeight="1" x14ac:dyDescent="0.2">
      <c r="A74" s="59"/>
      <c r="B74" s="60"/>
      <c r="C74" s="61"/>
      <c r="D74" s="62"/>
      <c r="E74" s="63"/>
      <c r="F74" s="64"/>
      <c r="G74" s="65"/>
      <c r="H74" s="61"/>
      <c r="I74" s="66"/>
      <c r="J74" s="67"/>
      <c r="K74" s="68"/>
      <c r="L74" s="69"/>
      <c r="M74" s="69"/>
      <c r="N74" s="68"/>
      <c r="O74" s="69"/>
      <c r="P74" s="69"/>
      <c r="Q74" s="69"/>
      <c r="R74" s="68"/>
      <c r="S74" s="69"/>
      <c r="T74" s="70"/>
      <c r="U74" s="69"/>
      <c r="V74" s="70"/>
      <c r="W74" s="69"/>
      <c r="X74" s="71"/>
    </row>
    <row r="75" spans="1:25" s="43" customFormat="1" ht="39" customHeight="1" x14ac:dyDescent="0.2">
      <c r="A75" s="72" t="s">
        <v>45</v>
      </c>
      <c r="B75" s="195" t="s">
        <v>46</v>
      </c>
      <c r="C75" s="196"/>
      <c r="D75" s="73" t="s">
        <v>98</v>
      </c>
      <c r="E75" s="74" t="s">
        <v>62</v>
      </c>
      <c r="F75" s="195" t="s">
        <v>99</v>
      </c>
      <c r="G75" s="197"/>
      <c r="H75" s="197"/>
      <c r="I75" s="197"/>
      <c r="J75" s="196"/>
      <c r="K75" s="75">
        <f>K76</f>
        <v>5015395</v>
      </c>
      <c r="L75" s="75">
        <f t="shared" ref="L75:S75" si="44">L76</f>
        <v>0</v>
      </c>
      <c r="M75" s="75">
        <f t="shared" si="44"/>
        <v>0</v>
      </c>
      <c r="N75" s="75">
        <f t="shared" si="44"/>
        <v>5015395</v>
      </c>
      <c r="O75" s="75">
        <f t="shared" si="44"/>
        <v>0</v>
      </c>
      <c r="P75" s="75">
        <f t="shared" si="44"/>
        <v>0</v>
      </c>
      <c r="Q75" s="75">
        <f t="shared" si="44"/>
        <v>0</v>
      </c>
      <c r="R75" s="75">
        <f t="shared" si="44"/>
        <v>5015395</v>
      </c>
      <c r="S75" s="75">
        <f t="shared" si="44"/>
        <v>1324762.47</v>
      </c>
      <c r="T75" s="76">
        <f>S75/R75</f>
        <v>0.26413920937433644</v>
      </c>
      <c r="U75" s="75">
        <f>U76</f>
        <v>1324762.47</v>
      </c>
      <c r="V75" s="76">
        <f>U75/R75</f>
        <v>0.26413920937433644</v>
      </c>
      <c r="W75" s="75">
        <f>W76</f>
        <v>1324762.47</v>
      </c>
      <c r="X75" s="77">
        <f>W75/R75</f>
        <v>0.26413920937433644</v>
      </c>
      <c r="Y75" s="42"/>
    </row>
    <row r="76" spans="1:25" s="58" customFormat="1" ht="39" customHeight="1" x14ac:dyDescent="0.2">
      <c r="A76" s="44" t="s">
        <v>45</v>
      </c>
      <c r="B76" s="45" t="s">
        <v>46</v>
      </c>
      <c r="C76" s="46" t="s">
        <v>97</v>
      </c>
      <c r="D76" s="47" t="s">
        <v>98</v>
      </c>
      <c r="E76" s="48" t="s">
        <v>62</v>
      </c>
      <c r="F76" s="49" t="s">
        <v>99</v>
      </c>
      <c r="G76" s="50">
        <v>1</v>
      </c>
      <c r="H76" s="46" t="s">
        <v>49</v>
      </c>
      <c r="I76" s="51" t="s">
        <v>50</v>
      </c>
      <c r="J76" s="52">
        <v>3</v>
      </c>
      <c r="K76" s="53">
        <v>5015395</v>
      </c>
      <c r="L76" s="54">
        <v>0</v>
      </c>
      <c r="M76" s="54">
        <v>0</v>
      </c>
      <c r="N76" s="53">
        <f t="shared" si="43"/>
        <v>5015395</v>
      </c>
      <c r="O76" s="54">
        <v>0</v>
      </c>
      <c r="P76" s="54">
        <v>0</v>
      </c>
      <c r="Q76" s="54">
        <v>0</v>
      </c>
      <c r="R76" s="53">
        <f t="shared" si="19"/>
        <v>5015395</v>
      </c>
      <c r="S76" s="54">
        <f>445785.12+445041+433936.35</f>
        <v>1324762.47</v>
      </c>
      <c r="T76" s="55">
        <f>S76/R76</f>
        <v>0.26413920937433644</v>
      </c>
      <c r="U76" s="54">
        <f>445785.12+445041+433936.35</f>
        <v>1324762.47</v>
      </c>
      <c r="V76" s="55">
        <f t="shared" si="20"/>
        <v>0.26413920937433644</v>
      </c>
      <c r="W76" s="54">
        <f>445785.12+445041+433936.35</f>
        <v>1324762.47</v>
      </c>
      <c r="X76" s="56">
        <f t="shared" si="21"/>
        <v>0.26413920937433644</v>
      </c>
      <c r="Y76" s="57"/>
    </row>
    <row r="77" spans="1:25" s="41" customFormat="1" ht="9" customHeight="1" x14ac:dyDescent="0.2">
      <c r="A77" s="59"/>
      <c r="B77" s="60"/>
      <c r="C77" s="61"/>
      <c r="D77" s="62"/>
      <c r="E77" s="63"/>
      <c r="F77" s="64"/>
      <c r="G77" s="65"/>
      <c r="H77" s="61"/>
      <c r="I77" s="66"/>
      <c r="J77" s="67"/>
      <c r="K77" s="68"/>
      <c r="L77" s="69"/>
      <c r="M77" s="69"/>
      <c r="N77" s="68"/>
      <c r="O77" s="69"/>
      <c r="P77" s="69"/>
      <c r="Q77" s="69"/>
      <c r="R77" s="68"/>
      <c r="S77" s="69"/>
      <c r="T77" s="70"/>
      <c r="U77" s="69"/>
      <c r="V77" s="70"/>
      <c r="W77" s="69"/>
      <c r="X77" s="71"/>
    </row>
    <row r="78" spans="1:25" s="43" customFormat="1" ht="39" customHeight="1" x14ac:dyDescent="0.2">
      <c r="A78" s="72" t="s">
        <v>45</v>
      </c>
      <c r="B78" s="195" t="s">
        <v>46</v>
      </c>
      <c r="C78" s="196"/>
      <c r="D78" s="73" t="s">
        <v>100</v>
      </c>
      <c r="E78" s="74" t="s">
        <v>62</v>
      </c>
      <c r="F78" s="195" t="s">
        <v>101</v>
      </c>
      <c r="G78" s="197"/>
      <c r="H78" s="197"/>
      <c r="I78" s="197"/>
      <c r="J78" s="196"/>
      <c r="K78" s="75">
        <f>K79</f>
        <v>16949843</v>
      </c>
      <c r="L78" s="75">
        <f t="shared" ref="L78:S78" si="45">L79</f>
        <v>0</v>
      </c>
      <c r="M78" s="75">
        <f t="shared" si="45"/>
        <v>0</v>
      </c>
      <c r="N78" s="75">
        <f t="shared" si="45"/>
        <v>16949843</v>
      </c>
      <c r="O78" s="75">
        <f t="shared" si="45"/>
        <v>0</v>
      </c>
      <c r="P78" s="75">
        <f t="shared" si="45"/>
        <v>0</v>
      </c>
      <c r="Q78" s="75">
        <f t="shared" si="45"/>
        <v>0</v>
      </c>
      <c r="R78" s="75">
        <f t="shared" si="45"/>
        <v>16949843</v>
      </c>
      <c r="S78" s="75">
        <f t="shared" si="45"/>
        <v>3676124.5200000005</v>
      </c>
      <c r="T78" s="76">
        <f>S78/R78</f>
        <v>0.21688251153712754</v>
      </c>
      <c r="U78" s="75">
        <f>U79</f>
        <v>3676124.5200000005</v>
      </c>
      <c r="V78" s="76">
        <f>U78/R78</f>
        <v>0.21688251153712754</v>
      </c>
      <c r="W78" s="75">
        <f>W79</f>
        <v>3676124.5200000005</v>
      </c>
      <c r="X78" s="77">
        <f>W78/R78</f>
        <v>0.21688251153712754</v>
      </c>
      <c r="Y78" s="42"/>
    </row>
    <row r="79" spans="1:25" s="58" customFormat="1" ht="39" customHeight="1" x14ac:dyDescent="0.2">
      <c r="A79" s="44" t="s">
        <v>45</v>
      </c>
      <c r="B79" s="45" t="s">
        <v>46</v>
      </c>
      <c r="C79" s="46" t="s">
        <v>97</v>
      </c>
      <c r="D79" s="47" t="s">
        <v>100</v>
      </c>
      <c r="E79" s="48" t="s">
        <v>62</v>
      </c>
      <c r="F79" s="49" t="s">
        <v>101</v>
      </c>
      <c r="G79" s="50">
        <v>1</v>
      </c>
      <c r="H79" s="46" t="s">
        <v>49</v>
      </c>
      <c r="I79" s="51" t="s">
        <v>50</v>
      </c>
      <c r="J79" s="52">
        <v>3</v>
      </c>
      <c r="K79" s="53">
        <v>16949843</v>
      </c>
      <c r="L79" s="54">
        <v>0</v>
      </c>
      <c r="M79" s="54">
        <v>0</v>
      </c>
      <c r="N79" s="53">
        <f t="shared" si="43"/>
        <v>16949843</v>
      </c>
      <c r="O79" s="54">
        <v>0</v>
      </c>
      <c r="P79" s="54">
        <v>0</v>
      </c>
      <c r="Q79" s="54">
        <v>0</v>
      </c>
      <c r="R79" s="53">
        <f t="shared" si="19"/>
        <v>16949843</v>
      </c>
      <c r="S79" s="54">
        <f>1262027.52+1198662.84+1215434.16</f>
        <v>3676124.5200000005</v>
      </c>
      <c r="T79" s="55">
        <f>S79/R79</f>
        <v>0.21688251153712754</v>
      </c>
      <c r="U79" s="54">
        <f>1262027.52+1198662.84+1215434.16</f>
        <v>3676124.5200000005</v>
      </c>
      <c r="V79" s="55">
        <f t="shared" si="20"/>
        <v>0.21688251153712754</v>
      </c>
      <c r="W79" s="54">
        <f>1262027.52+1198662.84+1215434.16</f>
        <v>3676124.5200000005</v>
      </c>
      <c r="X79" s="56">
        <f t="shared" si="21"/>
        <v>0.21688251153712754</v>
      </c>
      <c r="Y79" s="57"/>
    </row>
    <row r="80" spans="1:25" s="41" customFormat="1" ht="9" customHeight="1" x14ac:dyDescent="0.2">
      <c r="A80" s="59"/>
      <c r="B80" s="60"/>
      <c r="C80" s="61"/>
      <c r="D80" s="62"/>
      <c r="E80" s="63"/>
      <c r="F80" s="64"/>
      <c r="G80" s="65"/>
      <c r="H80" s="61"/>
      <c r="I80" s="66"/>
      <c r="J80" s="67"/>
      <c r="K80" s="68"/>
      <c r="L80" s="69"/>
      <c r="M80" s="69"/>
      <c r="N80" s="68"/>
      <c r="O80" s="69"/>
      <c r="P80" s="69"/>
      <c r="Q80" s="69"/>
      <c r="R80" s="68"/>
      <c r="S80" s="69"/>
      <c r="T80" s="70"/>
      <c r="U80" s="69"/>
      <c r="V80" s="70"/>
      <c r="W80" s="69"/>
      <c r="X80" s="71"/>
    </row>
    <row r="81" spans="1:25" s="43" customFormat="1" ht="39" customHeight="1" x14ac:dyDescent="0.2">
      <c r="A81" s="72" t="s">
        <v>45</v>
      </c>
      <c r="B81" s="195" t="s">
        <v>46</v>
      </c>
      <c r="C81" s="196"/>
      <c r="D81" s="73" t="s">
        <v>102</v>
      </c>
      <c r="E81" s="74" t="s">
        <v>62</v>
      </c>
      <c r="F81" s="195" t="s">
        <v>103</v>
      </c>
      <c r="G81" s="197"/>
      <c r="H81" s="197"/>
      <c r="I81" s="197"/>
      <c r="J81" s="196"/>
      <c r="K81" s="75">
        <f t="shared" ref="K81:S81" si="46">SUM(K82:K82)</f>
        <v>17246891</v>
      </c>
      <c r="L81" s="75">
        <f t="shared" si="46"/>
        <v>0</v>
      </c>
      <c r="M81" s="75">
        <f t="shared" si="46"/>
        <v>0</v>
      </c>
      <c r="N81" s="75">
        <f t="shared" si="46"/>
        <v>17246891</v>
      </c>
      <c r="O81" s="75">
        <f t="shared" si="46"/>
        <v>0</v>
      </c>
      <c r="P81" s="75">
        <f t="shared" si="46"/>
        <v>0</v>
      </c>
      <c r="Q81" s="75">
        <f t="shared" si="46"/>
        <v>0</v>
      </c>
      <c r="R81" s="75">
        <f t="shared" si="46"/>
        <v>17246891</v>
      </c>
      <c r="S81" s="75">
        <f t="shared" si="46"/>
        <v>3808032.29</v>
      </c>
      <c r="T81" s="76">
        <f>S81/R81</f>
        <v>0.22079528942346768</v>
      </c>
      <c r="U81" s="75">
        <f>SUM(U82:U82)</f>
        <v>3808032.29</v>
      </c>
      <c r="V81" s="76">
        <f>U81/R81</f>
        <v>0.22079528942346768</v>
      </c>
      <c r="W81" s="75">
        <f>SUM(W82:W82)</f>
        <v>3808032.29</v>
      </c>
      <c r="X81" s="77">
        <f>W81/R81</f>
        <v>0.22079528942346768</v>
      </c>
      <c r="Y81" s="42"/>
    </row>
    <row r="82" spans="1:25" s="58" customFormat="1" ht="39" customHeight="1" x14ac:dyDescent="0.2">
      <c r="A82" s="44" t="s">
        <v>45</v>
      </c>
      <c r="B82" s="45" t="s">
        <v>46</v>
      </c>
      <c r="C82" s="46" t="s">
        <v>97</v>
      </c>
      <c r="D82" s="47" t="s">
        <v>102</v>
      </c>
      <c r="E82" s="48" t="s">
        <v>62</v>
      </c>
      <c r="F82" s="49" t="s">
        <v>103</v>
      </c>
      <c r="G82" s="50">
        <v>1</v>
      </c>
      <c r="H82" s="46" t="s">
        <v>49</v>
      </c>
      <c r="I82" s="51" t="s">
        <v>50</v>
      </c>
      <c r="J82" s="52">
        <v>3</v>
      </c>
      <c r="K82" s="53">
        <v>17246891</v>
      </c>
      <c r="L82" s="54">
        <v>0</v>
      </c>
      <c r="M82" s="54">
        <v>0</v>
      </c>
      <c r="N82" s="53">
        <f t="shared" si="43"/>
        <v>17246891</v>
      </c>
      <c r="O82" s="54">
        <v>0</v>
      </c>
      <c r="P82" s="54">
        <v>0</v>
      </c>
      <c r="Q82" s="54">
        <v>0</v>
      </c>
      <c r="R82" s="53">
        <f t="shared" si="19"/>
        <v>17246891</v>
      </c>
      <c r="S82" s="54">
        <f>1266728.91+1274954.02+1266349.36</f>
        <v>3808032.29</v>
      </c>
      <c r="T82" s="55">
        <f>S82/R82</f>
        <v>0.22079528942346768</v>
      </c>
      <c r="U82" s="54">
        <f>1266728.91+1274954.02+1266349.36</f>
        <v>3808032.29</v>
      </c>
      <c r="V82" s="55">
        <f t="shared" si="20"/>
        <v>0.22079528942346768</v>
      </c>
      <c r="W82" s="54">
        <f>1266728.91+1274954.02+1266349.36</f>
        <v>3808032.29</v>
      </c>
      <c r="X82" s="56">
        <f t="shared" si="21"/>
        <v>0.22079528942346768</v>
      </c>
      <c r="Y82" s="57"/>
    </row>
    <row r="83" spans="1:25" s="41" customFormat="1" ht="9" customHeight="1" x14ac:dyDescent="0.2">
      <c r="A83" s="59"/>
      <c r="B83" s="60"/>
      <c r="C83" s="61"/>
      <c r="D83" s="62"/>
      <c r="E83" s="63"/>
      <c r="F83" s="64"/>
      <c r="G83" s="65"/>
      <c r="H83" s="61"/>
      <c r="I83" s="66"/>
      <c r="J83" s="67"/>
      <c r="K83" s="68"/>
      <c r="L83" s="69"/>
      <c r="M83" s="69"/>
      <c r="N83" s="68"/>
      <c r="O83" s="69"/>
      <c r="P83" s="69"/>
      <c r="Q83" s="69"/>
      <c r="R83" s="68"/>
      <c r="S83" s="69"/>
      <c r="T83" s="70"/>
      <c r="U83" s="69"/>
      <c r="V83" s="70"/>
      <c r="W83" s="69"/>
      <c r="X83" s="71"/>
    </row>
    <row r="84" spans="1:25" s="43" customFormat="1" ht="39" customHeight="1" x14ac:dyDescent="0.2">
      <c r="A84" s="72" t="s">
        <v>45</v>
      </c>
      <c r="B84" s="195" t="s">
        <v>46</v>
      </c>
      <c r="C84" s="196"/>
      <c r="D84" s="73" t="s">
        <v>104</v>
      </c>
      <c r="E84" s="74" t="s">
        <v>62</v>
      </c>
      <c r="F84" s="195" t="s">
        <v>105</v>
      </c>
      <c r="G84" s="197"/>
      <c r="H84" s="197"/>
      <c r="I84" s="197"/>
      <c r="J84" s="196"/>
      <c r="K84" s="75">
        <f>K85</f>
        <v>500714</v>
      </c>
      <c r="L84" s="75">
        <f t="shared" ref="L84:S84" si="47">L85</f>
        <v>0</v>
      </c>
      <c r="M84" s="75">
        <f t="shared" si="47"/>
        <v>0</v>
      </c>
      <c r="N84" s="75">
        <f t="shared" si="47"/>
        <v>500714</v>
      </c>
      <c r="O84" s="75">
        <f t="shared" si="47"/>
        <v>0</v>
      </c>
      <c r="P84" s="75">
        <f t="shared" si="47"/>
        <v>0</v>
      </c>
      <c r="Q84" s="75">
        <f t="shared" si="47"/>
        <v>0</v>
      </c>
      <c r="R84" s="75">
        <f t="shared" si="47"/>
        <v>500714</v>
      </c>
      <c r="S84" s="75">
        <f t="shared" si="47"/>
        <v>142462.70000000001</v>
      </c>
      <c r="T84" s="76">
        <f>S84/R84</f>
        <v>0.28451910671561015</v>
      </c>
      <c r="U84" s="75">
        <f>U85</f>
        <v>142462.70000000001</v>
      </c>
      <c r="V84" s="76">
        <f>U84/R84</f>
        <v>0.28451910671561015</v>
      </c>
      <c r="W84" s="75">
        <f>W85</f>
        <v>142462.70000000001</v>
      </c>
      <c r="X84" s="77">
        <f>W84/R84</f>
        <v>0.28451910671561015</v>
      </c>
      <c r="Y84" s="42"/>
    </row>
    <row r="85" spans="1:25" s="58" customFormat="1" ht="39" customHeight="1" x14ac:dyDescent="0.2">
      <c r="A85" s="44" t="s">
        <v>45</v>
      </c>
      <c r="B85" s="45" t="s">
        <v>46</v>
      </c>
      <c r="C85" s="46" t="s">
        <v>97</v>
      </c>
      <c r="D85" s="47" t="s">
        <v>104</v>
      </c>
      <c r="E85" s="48" t="s">
        <v>62</v>
      </c>
      <c r="F85" s="49" t="s">
        <v>105</v>
      </c>
      <c r="G85" s="50">
        <v>1</v>
      </c>
      <c r="H85" s="46" t="s">
        <v>49</v>
      </c>
      <c r="I85" s="51" t="s">
        <v>50</v>
      </c>
      <c r="J85" s="52">
        <v>3</v>
      </c>
      <c r="K85" s="53">
        <v>500714</v>
      </c>
      <c r="L85" s="54">
        <v>0</v>
      </c>
      <c r="M85" s="54">
        <v>0</v>
      </c>
      <c r="N85" s="53">
        <f t="shared" si="43"/>
        <v>500714</v>
      </c>
      <c r="O85" s="54">
        <v>0</v>
      </c>
      <c r="P85" s="54">
        <v>0</v>
      </c>
      <c r="Q85" s="54">
        <v>0</v>
      </c>
      <c r="R85" s="53">
        <f t="shared" si="19"/>
        <v>500714</v>
      </c>
      <c r="S85" s="54">
        <f>45306.8+48162.76+48993.14</f>
        <v>142462.70000000001</v>
      </c>
      <c r="T85" s="55">
        <f>S85/R85</f>
        <v>0.28451910671561015</v>
      </c>
      <c r="U85" s="54">
        <f>45306.8+48162.76+48993.14</f>
        <v>142462.70000000001</v>
      </c>
      <c r="V85" s="55">
        <f t="shared" si="20"/>
        <v>0.28451910671561015</v>
      </c>
      <c r="W85" s="54">
        <f>45306.8+48162.76+48993.14</f>
        <v>142462.70000000001</v>
      </c>
      <c r="X85" s="56">
        <f t="shared" si="21"/>
        <v>0.28451910671561015</v>
      </c>
      <c r="Y85" s="57"/>
    </row>
    <row r="86" spans="1:25" s="41" customFormat="1" ht="9" customHeight="1" x14ac:dyDescent="0.2">
      <c r="A86" s="59"/>
      <c r="B86" s="60"/>
      <c r="C86" s="61"/>
      <c r="D86" s="62"/>
      <c r="E86" s="63"/>
      <c r="F86" s="64"/>
      <c r="G86" s="65"/>
      <c r="H86" s="61"/>
      <c r="I86" s="66"/>
      <c r="J86" s="67"/>
      <c r="K86" s="68"/>
      <c r="L86" s="69"/>
      <c r="M86" s="69"/>
      <c r="N86" s="68"/>
      <c r="O86" s="69"/>
      <c r="P86" s="69"/>
      <c r="Q86" s="69"/>
      <c r="R86" s="68"/>
      <c r="S86" s="69"/>
      <c r="T86" s="70"/>
      <c r="U86" s="69"/>
      <c r="V86" s="70"/>
      <c r="W86" s="69"/>
      <c r="X86" s="71"/>
    </row>
    <row r="87" spans="1:25" s="43" customFormat="1" ht="39" customHeight="1" x14ac:dyDescent="0.2">
      <c r="A87" s="72" t="s">
        <v>45</v>
      </c>
      <c r="B87" s="195" t="s">
        <v>46</v>
      </c>
      <c r="C87" s="196"/>
      <c r="D87" s="73" t="s">
        <v>106</v>
      </c>
      <c r="E87" s="74" t="s">
        <v>62</v>
      </c>
      <c r="F87" s="195" t="s">
        <v>107</v>
      </c>
      <c r="G87" s="197"/>
      <c r="H87" s="197"/>
      <c r="I87" s="197"/>
      <c r="J87" s="196"/>
      <c r="K87" s="75">
        <f>K88</f>
        <v>1172551</v>
      </c>
      <c r="L87" s="75">
        <f t="shared" ref="L87:S87" si="48">L88</f>
        <v>0</v>
      </c>
      <c r="M87" s="75">
        <f t="shared" si="48"/>
        <v>0</v>
      </c>
      <c r="N87" s="75">
        <f t="shared" si="48"/>
        <v>1172551</v>
      </c>
      <c r="O87" s="75">
        <f t="shared" si="48"/>
        <v>0</v>
      </c>
      <c r="P87" s="75">
        <f t="shared" si="48"/>
        <v>0</v>
      </c>
      <c r="Q87" s="75">
        <f t="shared" si="48"/>
        <v>0</v>
      </c>
      <c r="R87" s="75">
        <f t="shared" si="48"/>
        <v>1172551</v>
      </c>
      <c r="S87" s="75">
        <f t="shared" si="48"/>
        <v>174286.13</v>
      </c>
      <c r="T87" s="76">
        <f>S87/R87</f>
        <v>0.14863842169764899</v>
      </c>
      <c r="U87" s="75">
        <f>U88</f>
        <v>174286.13</v>
      </c>
      <c r="V87" s="76">
        <f>U87/R87</f>
        <v>0.14863842169764899</v>
      </c>
      <c r="W87" s="75">
        <f>W88</f>
        <v>174286.13</v>
      </c>
      <c r="X87" s="77">
        <f>W87/R87</f>
        <v>0.14863842169764899</v>
      </c>
      <c r="Y87" s="42"/>
    </row>
    <row r="88" spans="1:25" s="58" customFormat="1" ht="39" customHeight="1" x14ac:dyDescent="0.2">
      <c r="A88" s="44" t="s">
        <v>45</v>
      </c>
      <c r="B88" s="45" t="s">
        <v>46</v>
      </c>
      <c r="C88" s="46" t="s">
        <v>97</v>
      </c>
      <c r="D88" s="47" t="s">
        <v>106</v>
      </c>
      <c r="E88" s="48" t="s">
        <v>62</v>
      </c>
      <c r="F88" s="49" t="s">
        <v>107</v>
      </c>
      <c r="G88" s="50">
        <v>1</v>
      </c>
      <c r="H88" s="46" t="s">
        <v>49</v>
      </c>
      <c r="I88" s="51" t="s">
        <v>50</v>
      </c>
      <c r="J88" s="52">
        <v>3</v>
      </c>
      <c r="K88" s="53">
        <v>1172551</v>
      </c>
      <c r="L88" s="54">
        <v>0</v>
      </c>
      <c r="M88" s="54">
        <v>0</v>
      </c>
      <c r="N88" s="53">
        <f t="shared" si="43"/>
        <v>1172551</v>
      </c>
      <c r="O88" s="54">
        <v>0</v>
      </c>
      <c r="P88" s="54">
        <v>0</v>
      </c>
      <c r="Q88" s="54">
        <v>0</v>
      </c>
      <c r="R88" s="53">
        <f t="shared" si="19"/>
        <v>1172551</v>
      </c>
      <c r="S88" s="54">
        <f>60669.79+59115.54+54500.8</f>
        <v>174286.13</v>
      </c>
      <c r="T88" s="55">
        <f>S88/R88</f>
        <v>0.14863842169764899</v>
      </c>
      <c r="U88" s="54">
        <f>60669.79+59115.54+54500.8</f>
        <v>174286.13</v>
      </c>
      <c r="V88" s="55">
        <f t="shared" si="20"/>
        <v>0.14863842169764899</v>
      </c>
      <c r="W88" s="54">
        <f>60669.79+59115.54+54500.8</f>
        <v>174286.13</v>
      </c>
      <c r="X88" s="56">
        <f t="shared" si="21"/>
        <v>0.14863842169764899</v>
      </c>
      <c r="Y88" s="57"/>
    </row>
    <row r="89" spans="1:25" s="41" customFormat="1" ht="9" customHeight="1" x14ac:dyDescent="0.2">
      <c r="A89" s="59"/>
      <c r="B89" s="60"/>
      <c r="C89" s="61"/>
      <c r="D89" s="62"/>
      <c r="E89" s="63"/>
      <c r="F89" s="64"/>
      <c r="G89" s="65"/>
      <c r="H89" s="61"/>
      <c r="I89" s="66"/>
      <c r="J89" s="67"/>
      <c r="K89" s="68"/>
      <c r="L89" s="69"/>
      <c r="M89" s="69"/>
      <c r="N89" s="68"/>
      <c r="O89" s="69"/>
      <c r="P89" s="69"/>
      <c r="Q89" s="69"/>
      <c r="R89" s="68"/>
      <c r="S89" s="69"/>
      <c r="T89" s="70"/>
      <c r="U89" s="69"/>
      <c r="V89" s="70"/>
      <c r="W89" s="69"/>
      <c r="X89" s="71"/>
    </row>
    <row r="90" spans="1:25" s="43" customFormat="1" ht="39" customHeight="1" x14ac:dyDescent="0.2">
      <c r="A90" s="72" t="s">
        <v>45</v>
      </c>
      <c r="B90" s="195" t="s">
        <v>46</v>
      </c>
      <c r="C90" s="196"/>
      <c r="D90" s="73" t="s">
        <v>108</v>
      </c>
      <c r="E90" s="74" t="s">
        <v>62</v>
      </c>
      <c r="F90" s="195" t="s">
        <v>109</v>
      </c>
      <c r="G90" s="197"/>
      <c r="H90" s="197"/>
      <c r="I90" s="197"/>
      <c r="J90" s="196"/>
      <c r="K90" s="75">
        <f>K91</f>
        <v>4802086</v>
      </c>
      <c r="L90" s="75">
        <f t="shared" ref="L90:S90" si="49">L91</f>
        <v>0</v>
      </c>
      <c r="M90" s="75">
        <f t="shared" si="49"/>
        <v>0</v>
      </c>
      <c r="N90" s="75">
        <f t="shared" si="49"/>
        <v>4802086</v>
      </c>
      <c r="O90" s="75">
        <f t="shared" si="49"/>
        <v>0</v>
      </c>
      <c r="P90" s="75">
        <f t="shared" si="49"/>
        <v>0</v>
      </c>
      <c r="Q90" s="75">
        <f t="shared" si="49"/>
        <v>0</v>
      </c>
      <c r="R90" s="75">
        <f t="shared" si="49"/>
        <v>4802086</v>
      </c>
      <c r="S90" s="75">
        <f t="shared" si="49"/>
        <v>1278856.08</v>
      </c>
      <c r="T90" s="76">
        <f>S90/R90</f>
        <v>0.266312614976075</v>
      </c>
      <c r="U90" s="75">
        <f>U91</f>
        <v>1278856.08</v>
      </c>
      <c r="V90" s="76">
        <f>U90/R90</f>
        <v>0.266312614976075</v>
      </c>
      <c r="W90" s="75">
        <f>W91</f>
        <v>1278856.08</v>
      </c>
      <c r="X90" s="77">
        <f>W90/R90</f>
        <v>0.266312614976075</v>
      </c>
      <c r="Y90" s="42"/>
    </row>
    <row r="91" spans="1:25" s="58" customFormat="1" ht="39" customHeight="1" x14ac:dyDescent="0.2">
      <c r="A91" s="44" t="s">
        <v>45</v>
      </c>
      <c r="B91" s="45" t="s">
        <v>46</v>
      </c>
      <c r="C91" s="46" t="s">
        <v>97</v>
      </c>
      <c r="D91" s="47" t="s">
        <v>108</v>
      </c>
      <c r="E91" s="48" t="s">
        <v>62</v>
      </c>
      <c r="F91" s="49" t="s">
        <v>109</v>
      </c>
      <c r="G91" s="50">
        <v>1</v>
      </c>
      <c r="H91" s="46" t="s">
        <v>49</v>
      </c>
      <c r="I91" s="51" t="s">
        <v>50</v>
      </c>
      <c r="J91" s="52">
        <v>3</v>
      </c>
      <c r="K91" s="53">
        <v>4802086</v>
      </c>
      <c r="L91" s="54">
        <v>0</v>
      </c>
      <c r="M91" s="54">
        <v>0</v>
      </c>
      <c r="N91" s="53">
        <f t="shared" ref="N91" si="50">K91+L91-M91</f>
        <v>4802086</v>
      </c>
      <c r="O91" s="54">
        <v>0</v>
      </c>
      <c r="P91" s="54">
        <v>0</v>
      </c>
      <c r="Q91" s="54">
        <v>0</v>
      </c>
      <c r="R91" s="53">
        <f t="shared" ref="R91" si="51">N91-O91+P91+Q91</f>
        <v>4802086</v>
      </c>
      <c r="S91" s="54">
        <f>422545.68+428155.2+428155.2</f>
        <v>1278856.08</v>
      </c>
      <c r="T91" s="55">
        <f>S91/R91</f>
        <v>0.266312614976075</v>
      </c>
      <c r="U91" s="54">
        <f>422545.68+428155.2+428155.2</f>
        <v>1278856.08</v>
      </c>
      <c r="V91" s="55">
        <f t="shared" ref="V91" si="52">U91/R91</f>
        <v>0.266312614976075</v>
      </c>
      <c r="W91" s="54">
        <f>422545.68+428155.2+428155.2</f>
        <v>1278856.08</v>
      </c>
      <c r="X91" s="56">
        <f t="shared" ref="X91" si="53">W91/R91</f>
        <v>0.266312614976075</v>
      </c>
      <c r="Y91" s="57"/>
    </row>
    <row r="92" spans="1:25" s="41" customFormat="1" ht="9" customHeight="1" x14ac:dyDescent="0.2">
      <c r="A92" s="59"/>
      <c r="B92" s="60"/>
      <c r="C92" s="61"/>
      <c r="D92" s="62"/>
      <c r="E92" s="63"/>
      <c r="F92" s="64"/>
      <c r="G92" s="65"/>
      <c r="H92" s="61"/>
      <c r="I92" s="66"/>
      <c r="J92" s="67"/>
      <c r="K92" s="68"/>
      <c r="L92" s="69"/>
      <c r="M92" s="69"/>
      <c r="N92" s="68"/>
      <c r="O92" s="69"/>
      <c r="P92" s="69"/>
      <c r="Q92" s="69"/>
      <c r="R92" s="68"/>
      <c r="S92" s="69"/>
      <c r="T92" s="70"/>
      <c r="U92" s="69"/>
      <c r="V92" s="70"/>
      <c r="W92" s="69"/>
      <c r="X92" s="71"/>
    </row>
    <row r="93" spans="1:25" s="43" customFormat="1" ht="39" customHeight="1" x14ac:dyDescent="0.2">
      <c r="A93" s="72" t="s">
        <v>45</v>
      </c>
      <c r="B93" s="195" t="s">
        <v>46</v>
      </c>
      <c r="C93" s="196"/>
      <c r="D93" s="73" t="s">
        <v>110</v>
      </c>
      <c r="E93" s="74" t="s">
        <v>62</v>
      </c>
      <c r="F93" s="195" t="s">
        <v>111</v>
      </c>
      <c r="G93" s="197"/>
      <c r="H93" s="197"/>
      <c r="I93" s="197"/>
      <c r="J93" s="196"/>
      <c r="K93" s="75">
        <f>K94</f>
        <v>449563</v>
      </c>
      <c r="L93" s="75">
        <f t="shared" ref="L93:S93" si="54">L94</f>
        <v>0</v>
      </c>
      <c r="M93" s="75">
        <f t="shared" si="54"/>
        <v>0</v>
      </c>
      <c r="N93" s="75">
        <f t="shared" si="54"/>
        <v>449563</v>
      </c>
      <c r="O93" s="75">
        <f t="shared" si="54"/>
        <v>0</v>
      </c>
      <c r="P93" s="75">
        <f t="shared" si="54"/>
        <v>0</v>
      </c>
      <c r="Q93" s="75">
        <f t="shared" si="54"/>
        <v>0</v>
      </c>
      <c r="R93" s="75">
        <f t="shared" si="54"/>
        <v>449563</v>
      </c>
      <c r="S93" s="75">
        <f t="shared" si="54"/>
        <v>113335.20000000001</v>
      </c>
      <c r="T93" s="76">
        <f>S93/R93</f>
        <v>0.25210081790538813</v>
      </c>
      <c r="U93" s="75">
        <f>U94</f>
        <v>113335.20000000001</v>
      </c>
      <c r="V93" s="76">
        <f>U93/R93</f>
        <v>0.25210081790538813</v>
      </c>
      <c r="W93" s="75">
        <f>W94</f>
        <v>113335.20000000001</v>
      </c>
      <c r="X93" s="77">
        <f>W93/R93</f>
        <v>0.25210081790538813</v>
      </c>
      <c r="Y93" s="42"/>
    </row>
    <row r="94" spans="1:25" s="58" customFormat="1" ht="39" customHeight="1" thickBot="1" x14ac:dyDescent="0.25">
      <c r="A94" s="44" t="s">
        <v>45</v>
      </c>
      <c r="B94" s="45" t="s">
        <v>46</v>
      </c>
      <c r="C94" s="46" t="s">
        <v>97</v>
      </c>
      <c r="D94" s="47" t="s">
        <v>110</v>
      </c>
      <c r="E94" s="48" t="s">
        <v>62</v>
      </c>
      <c r="F94" s="49" t="s">
        <v>111</v>
      </c>
      <c r="G94" s="50">
        <v>1</v>
      </c>
      <c r="H94" s="46" t="s">
        <v>49</v>
      </c>
      <c r="I94" s="51" t="s">
        <v>50</v>
      </c>
      <c r="J94" s="52">
        <v>3</v>
      </c>
      <c r="K94" s="53">
        <v>449563</v>
      </c>
      <c r="L94" s="54">
        <v>0</v>
      </c>
      <c r="M94" s="54">
        <v>0</v>
      </c>
      <c r="N94" s="53">
        <f t="shared" ref="N94" si="55">K94+L94-M94</f>
        <v>449563</v>
      </c>
      <c r="O94" s="54">
        <v>0</v>
      </c>
      <c r="P94" s="54">
        <v>0</v>
      </c>
      <c r="Q94" s="54">
        <v>0</v>
      </c>
      <c r="R94" s="53">
        <f t="shared" ref="R94" si="56">N94-O94+P94+Q94</f>
        <v>449563</v>
      </c>
      <c r="S94" s="54">
        <f>37778.4+37778.4+37778.4</f>
        <v>113335.20000000001</v>
      </c>
      <c r="T94" s="55">
        <f>S94/R94</f>
        <v>0.25210081790538813</v>
      </c>
      <c r="U94" s="54">
        <f>37778.4+37778.4+37778.4</f>
        <v>113335.20000000001</v>
      </c>
      <c r="V94" s="55">
        <f t="shared" ref="V94" si="57">U94/R94</f>
        <v>0.25210081790538813</v>
      </c>
      <c r="W94" s="54">
        <f>37778.4+37778.4+37778.4</f>
        <v>113335.20000000001</v>
      </c>
      <c r="X94" s="56">
        <f t="shared" ref="X94" si="58">W94/R94</f>
        <v>0.25210081790538813</v>
      </c>
      <c r="Y94" s="57"/>
    </row>
    <row r="95" spans="1:25" s="43" customFormat="1" ht="39" customHeight="1" thickBot="1" x14ac:dyDescent="0.25">
      <c r="A95" s="198" t="s">
        <v>112</v>
      </c>
      <c r="B95" s="199"/>
      <c r="C95" s="199"/>
      <c r="D95" s="199"/>
      <c r="E95" s="199"/>
      <c r="F95" s="199"/>
      <c r="G95" s="199"/>
      <c r="H95" s="199"/>
      <c r="I95" s="199"/>
      <c r="J95" s="200"/>
      <c r="K95" s="78">
        <f t="shared" ref="K95:S95" si="59">K13+K17+K21+K25+K30+K34+K39+K44+K48+K52+K55+K58+K61+K65+K68+K72+K75+K78+K81+K84+K87+K90+K93</f>
        <v>1184518779</v>
      </c>
      <c r="L95" s="78">
        <f t="shared" si="59"/>
        <v>6098575</v>
      </c>
      <c r="M95" s="78">
        <f t="shared" si="59"/>
        <v>6000000</v>
      </c>
      <c r="N95" s="78">
        <f t="shared" si="59"/>
        <v>1184617354</v>
      </c>
      <c r="O95" s="78">
        <f t="shared" si="59"/>
        <v>0</v>
      </c>
      <c r="P95" s="78">
        <f t="shared" si="59"/>
        <v>0</v>
      </c>
      <c r="Q95" s="78">
        <f t="shared" si="59"/>
        <v>-4247198.25</v>
      </c>
      <c r="R95" s="78">
        <f t="shared" si="59"/>
        <v>1180370155.75</v>
      </c>
      <c r="S95" s="78">
        <f t="shared" si="59"/>
        <v>260471151.52000001</v>
      </c>
      <c r="T95" s="79">
        <f>S95/R95</f>
        <v>0.22066904203834112</v>
      </c>
      <c r="U95" s="78">
        <f>U13+U17+U21+U25+U30+U34+U39+U44+U48+U52+U55+U58+U61+U65+U68+U72+U75+U78+U81+U84+U87+U90+U93</f>
        <v>259557979.69999999</v>
      </c>
      <c r="V95" s="79">
        <f>U95/R95</f>
        <v>0.21989541029616971</v>
      </c>
      <c r="W95" s="78">
        <f>W13+W17+W21+W25+W30+W34+W39+W44+W48+W52+W55+W58+W61+W65+W68+W72+W75+W78+W81+W84+W87+W90+W93</f>
        <v>246533770.87999997</v>
      </c>
      <c r="X95" s="80">
        <f>W95/R95</f>
        <v>0.2088614064656302</v>
      </c>
      <c r="Y95" s="42"/>
    </row>
    <row r="96" spans="1:25" s="41" customFormat="1" ht="12" customHeight="1" thickBot="1" x14ac:dyDescent="0.25">
      <c r="A96" s="29"/>
      <c r="B96" s="30"/>
      <c r="C96" s="31"/>
      <c r="D96" s="32"/>
      <c r="E96" s="33"/>
      <c r="F96" s="34"/>
      <c r="G96" s="35"/>
      <c r="H96" s="31"/>
      <c r="I96" s="36"/>
      <c r="J96" s="37"/>
      <c r="K96" s="38"/>
      <c r="L96" s="39"/>
      <c r="M96" s="39"/>
      <c r="N96" s="38"/>
      <c r="O96" s="39"/>
      <c r="P96" s="39"/>
      <c r="Q96" s="39"/>
      <c r="R96" s="38"/>
      <c r="S96" s="39"/>
      <c r="T96" s="40"/>
      <c r="U96" s="39"/>
      <c r="V96" s="40"/>
      <c r="W96" s="39"/>
      <c r="X96" s="40"/>
    </row>
    <row r="97" spans="1:25" s="43" customFormat="1" ht="39" customHeight="1" x14ac:dyDescent="0.2">
      <c r="A97" s="155" t="s">
        <v>113</v>
      </c>
      <c r="B97" s="201" t="s">
        <v>114</v>
      </c>
      <c r="C97" s="202"/>
      <c r="D97" s="156" t="s">
        <v>117</v>
      </c>
      <c r="E97" s="157" t="s">
        <v>47</v>
      </c>
      <c r="F97" s="201" t="s">
        <v>118</v>
      </c>
      <c r="G97" s="203"/>
      <c r="H97" s="203"/>
      <c r="I97" s="203"/>
      <c r="J97" s="202"/>
      <c r="K97" s="158">
        <f>SUM(K98:K101)</f>
        <v>7056000</v>
      </c>
      <c r="L97" s="158">
        <f t="shared" ref="L97:S97" si="60">SUM(L98:L101)</f>
        <v>0</v>
      </c>
      <c r="M97" s="158">
        <f t="shared" si="60"/>
        <v>0</v>
      </c>
      <c r="N97" s="158">
        <f t="shared" si="60"/>
        <v>7056000</v>
      </c>
      <c r="O97" s="158">
        <f t="shared" si="60"/>
        <v>0</v>
      </c>
      <c r="P97" s="158">
        <f t="shared" si="60"/>
        <v>0</v>
      </c>
      <c r="Q97" s="158">
        <f t="shared" si="60"/>
        <v>0</v>
      </c>
      <c r="R97" s="158">
        <f t="shared" si="60"/>
        <v>7056000</v>
      </c>
      <c r="S97" s="158">
        <f t="shared" si="60"/>
        <v>5203.3100000000004</v>
      </c>
      <c r="T97" s="159">
        <f>S97/R97</f>
        <v>7.3743055555555563E-4</v>
      </c>
      <c r="U97" s="158">
        <f>SUM(U98:U101)</f>
        <v>5203.3100000000004</v>
      </c>
      <c r="V97" s="159">
        <f>U97/R97</f>
        <v>7.3743055555555563E-4</v>
      </c>
      <c r="W97" s="158">
        <f>SUM(W98:W101)</f>
        <v>5203.3100000000004</v>
      </c>
      <c r="X97" s="160">
        <f>W97/R97</f>
        <v>7.3743055555555563E-4</v>
      </c>
      <c r="Y97" s="42"/>
    </row>
    <row r="98" spans="1:25" s="58" customFormat="1" ht="39" customHeight="1" x14ac:dyDescent="0.2">
      <c r="A98" s="81" t="s">
        <v>113</v>
      </c>
      <c r="B98" s="45" t="s">
        <v>114</v>
      </c>
      <c r="C98" s="46" t="s">
        <v>48</v>
      </c>
      <c r="D98" s="47" t="s">
        <v>117</v>
      </c>
      <c r="E98" s="82" t="s">
        <v>47</v>
      </c>
      <c r="F98" s="49" t="s">
        <v>118</v>
      </c>
      <c r="G98" s="50">
        <v>1</v>
      </c>
      <c r="H98" s="46" t="s">
        <v>49</v>
      </c>
      <c r="I98" s="51" t="s">
        <v>50</v>
      </c>
      <c r="J98" s="52">
        <v>4</v>
      </c>
      <c r="K98" s="53">
        <v>450000</v>
      </c>
      <c r="L98" s="54">
        <v>0</v>
      </c>
      <c r="M98" s="54">
        <v>0</v>
      </c>
      <c r="N98" s="53">
        <f>K98+L98-M98</f>
        <v>450000</v>
      </c>
      <c r="O98" s="54">
        <v>0</v>
      </c>
      <c r="P98" s="54">
        <v>0</v>
      </c>
      <c r="Q98" s="54">
        <v>0</v>
      </c>
      <c r="R98" s="53">
        <f>N98-O98+P98+Q98</f>
        <v>450000</v>
      </c>
      <c r="S98" s="54">
        <v>0</v>
      </c>
      <c r="T98" s="55">
        <f>S98/R98</f>
        <v>0</v>
      </c>
      <c r="U98" s="54">
        <v>0</v>
      </c>
      <c r="V98" s="55">
        <f>U98/R98</f>
        <v>0</v>
      </c>
      <c r="W98" s="54">
        <v>0</v>
      </c>
      <c r="X98" s="56">
        <f>W98/R98</f>
        <v>0</v>
      </c>
      <c r="Y98" s="57"/>
    </row>
    <row r="99" spans="1:25" s="58" customFormat="1" ht="39" customHeight="1" x14ac:dyDescent="0.2">
      <c r="A99" s="81" t="s">
        <v>113</v>
      </c>
      <c r="B99" s="45" t="s">
        <v>114</v>
      </c>
      <c r="C99" s="46" t="s">
        <v>48</v>
      </c>
      <c r="D99" s="47" t="s">
        <v>117</v>
      </c>
      <c r="E99" s="82" t="s">
        <v>47</v>
      </c>
      <c r="F99" s="49" t="s">
        <v>118</v>
      </c>
      <c r="G99" s="50">
        <v>1</v>
      </c>
      <c r="H99" s="46" t="s">
        <v>49</v>
      </c>
      <c r="I99" s="51" t="s">
        <v>50</v>
      </c>
      <c r="J99" s="52">
        <v>5</v>
      </c>
      <c r="K99" s="53">
        <v>10000</v>
      </c>
      <c r="L99" s="54">
        <v>0</v>
      </c>
      <c r="M99" s="54">
        <v>0</v>
      </c>
      <c r="N99" s="53">
        <f>K99+L99-M99</f>
        <v>10000</v>
      </c>
      <c r="O99" s="54">
        <v>0</v>
      </c>
      <c r="P99" s="54">
        <v>0</v>
      </c>
      <c r="Q99" s="54">
        <v>0</v>
      </c>
      <c r="R99" s="53">
        <f>N99-O99+P99+Q99</f>
        <v>10000</v>
      </c>
      <c r="S99" s="54">
        <v>0</v>
      </c>
      <c r="T99" s="55">
        <f>S99/R99</f>
        <v>0</v>
      </c>
      <c r="U99" s="54">
        <v>0</v>
      </c>
      <c r="V99" s="55">
        <f>U99/R99</f>
        <v>0</v>
      </c>
      <c r="W99" s="54">
        <v>0</v>
      </c>
      <c r="X99" s="56">
        <f>W99/R99</f>
        <v>0</v>
      </c>
      <c r="Y99" s="57"/>
    </row>
    <row r="100" spans="1:25" s="58" customFormat="1" ht="39" customHeight="1" x14ac:dyDescent="0.2">
      <c r="A100" s="81" t="s">
        <v>113</v>
      </c>
      <c r="B100" s="45" t="s">
        <v>114</v>
      </c>
      <c r="C100" s="46" t="s">
        <v>48</v>
      </c>
      <c r="D100" s="47" t="s">
        <v>117</v>
      </c>
      <c r="E100" s="82" t="s">
        <v>47</v>
      </c>
      <c r="F100" s="49" t="s">
        <v>118</v>
      </c>
      <c r="G100" s="50">
        <v>1</v>
      </c>
      <c r="H100" s="46" t="s">
        <v>115</v>
      </c>
      <c r="I100" s="85" t="s">
        <v>116</v>
      </c>
      <c r="J100" s="52">
        <v>3</v>
      </c>
      <c r="K100" s="53">
        <v>96000</v>
      </c>
      <c r="L100" s="54">
        <v>0</v>
      </c>
      <c r="M100" s="54">
        <v>0</v>
      </c>
      <c r="N100" s="53">
        <f>K100+L100-M100</f>
        <v>96000</v>
      </c>
      <c r="O100" s="54">
        <v>0</v>
      </c>
      <c r="P100" s="54">
        <v>0</v>
      </c>
      <c r="Q100" s="54">
        <v>0</v>
      </c>
      <c r="R100" s="53">
        <f>N100-O100+P100+Q100</f>
        <v>96000</v>
      </c>
      <c r="S100" s="54">
        <f>5203.31</f>
        <v>5203.3100000000004</v>
      </c>
      <c r="T100" s="55">
        <f>S100/R100</f>
        <v>5.4201145833333339E-2</v>
      </c>
      <c r="U100" s="54">
        <f>5203.31</f>
        <v>5203.3100000000004</v>
      </c>
      <c r="V100" s="55">
        <f>U100/R100</f>
        <v>5.4201145833333339E-2</v>
      </c>
      <c r="W100" s="54">
        <f>5203.31</f>
        <v>5203.3100000000004</v>
      </c>
      <c r="X100" s="56">
        <f>W100/R100</f>
        <v>5.4201145833333339E-2</v>
      </c>
      <c r="Y100" s="57"/>
    </row>
    <row r="101" spans="1:25" s="58" customFormat="1" ht="39" customHeight="1" x14ac:dyDescent="0.2">
      <c r="A101" s="81" t="s">
        <v>113</v>
      </c>
      <c r="B101" s="45" t="s">
        <v>114</v>
      </c>
      <c r="C101" s="46" t="s">
        <v>48</v>
      </c>
      <c r="D101" s="47" t="s">
        <v>117</v>
      </c>
      <c r="E101" s="82" t="s">
        <v>47</v>
      </c>
      <c r="F101" s="49" t="s">
        <v>118</v>
      </c>
      <c r="G101" s="50">
        <v>1</v>
      </c>
      <c r="H101" s="46" t="s">
        <v>115</v>
      </c>
      <c r="I101" s="85" t="s">
        <v>116</v>
      </c>
      <c r="J101" s="52">
        <v>4</v>
      </c>
      <c r="K101" s="53">
        <v>6500000</v>
      </c>
      <c r="L101" s="54">
        <v>0</v>
      </c>
      <c r="M101" s="54">
        <v>0</v>
      </c>
      <c r="N101" s="53">
        <f>K101+L101-M101</f>
        <v>6500000</v>
      </c>
      <c r="O101" s="54">
        <v>0</v>
      </c>
      <c r="P101" s="54">
        <v>0</v>
      </c>
      <c r="Q101" s="54">
        <v>0</v>
      </c>
      <c r="R101" s="53">
        <f>N101-O101+P101+Q101</f>
        <v>6500000</v>
      </c>
      <c r="S101" s="54">
        <v>0</v>
      </c>
      <c r="T101" s="55">
        <f>S101/R101</f>
        <v>0</v>
      </c>
      <c r="U101" s="54">
        <v>0</v>
      </c>
      <c r="V101" s="55">
        <f>U101/R101</f>
        <v>0</v>
      </c>
      <c r="W101" s="54">
        <v>0</v>
      </c>
      <c r="X101" s="56">
        <f>W101/R101</f>
        <v>0</v>
      </c>
      <c r="Y101" s="57"/>
    </row>
    <row r="102" spans="1:25" s="41" customFormat="1" ht="9" customHeight="1" x14ac:dyDescent="0.2">
      <c r="A102" s="59"/>
      <c r="B102" s="60"/>
      <c r="C102" s="61"/>
      <c r="D102" s="62"/>
      <c r="E102" s="63"/>
      <c r="F102" s="64"/>
      <c r="G102" s="65"/>
      <c r="H102" s="61"/>
      <c r="I102" s="66"/>
      <c r="J102" s="67"/>
      <c r="K102" s="68"/>
      <c r="L102" s="69"/>
      <c r="M102" s="69"/>
      <c r="N102" s="68"/>
      <c r="O102" s="69"/>
      <c r="P102" s="69"/>
      <c r="Q102" s="69"/>
      <c r="R102" s="68"/>
      <c r="S102" s="69"/>
      <c r="T102" s="70"/>
      <c r="U102" s="69"/>
      <c r="V102" s="70"/>
      <c r="W102" s="69"/>
      <c r="X102" s="71"/>
    </row>
    <row r="103" spans="1:25" s="43" customFormat="1" ht="39" customHeight="1" x14ac:dyDescent="0.2">
      <c r="A103" s="86" t="s">
        <v>113</v>
      </c>
      <c r="B103" s="195" t="s">
        <v>114</v>
      </c>
      <c r="C103" s="196"/>
      <c r="D103" s="73" t="s">
        <v>119</v>
      </c>
      <c r="E103" s="74" t="s">
        <v>47</v>
      </c>
      <c r="F103" s="195" t="s">
        <v>120</v>
      </c>
      <c r="G103" s="197"/>
      <c r="H103" s="197"/>
      <c r="I103" s="197"/>
      <c r="J103" s="196"/>
      <c r="K103" s="75">
        <f t="shared" ref="K103:S103" si="61">SUM(K104:K105)</f>
        <v>51000</v>
      </c>
      <c r="L103" s="75">
        <f t="shared" si="61"/>
        <v>0</v>
      </c>
      <c r="M103" s="75">
        <f t="shared" si="61"/>
        <v>0</v>
      </c>
      <c r="N103" s="75">
        <f t="shared" si="61"/>
        <v>51000</v>
      </c>
      <c r="O103" s="75">
        <f t="shared" si="61"/>
        <v>0</v>
      </c>
      <c r="P103" s="75">
        <f t="shared" si="61"/>
        <v>0</v>
      </c>
      <c r="Q103" s="75">
        <f t="shared" si="61"/>
        <v>0</v>
      </c>
      <c r="R103" s="75">
        <f t="shared" si="61"/>
        <v>51000</v>
      </c>
      <c r="S103" s="75">
        <f t="shared" si="61"/>
        <v>0</v>
      </c>
      <c r="T103" s="76">
        <f>S103/R103</f>
        <v>0</v>
      </c>
      <c r="U103" s="75">
        <f>SUM(U104:U105)</f>
        <v>0</v>
      </c>
      <c r="V103" s="76">
        <f>U103/R103</f>
        <v>0</v>
      </c>
      <c r="W103" s="75">
        <f>SUM(W104:W105)</f>
        <v>0</v>
      </c>
      <c r="X103" s="77">
        <f>W103/R103</f>
        <v>0</v>
      </c>
      <c r="Y103" s="42"/>
    </row>
    <row r="104" spans="1:25" s="58" customFormat="1" ht="39" customHeight="1" x14ac:dyDescent="0.2">
      <c r="A104" s="81" t="s">
        <v>113</v>
      </c>
      <c r="B104" s="45" t="s">
        <v>114</v>
      </c>
      <c r="C104" s="46" t="s">
        <v>48</v>
      </c>
      <c r="D104" s="47" t="s">
        <v>119</v>
      </c>
      <c r="E104" s="82" t="s">
        <v>47</v>
      </c>
      <c r="F104" s="49" t="s">
        <v>120</v>
      </c>
      <c r="G104" s="50">
        <v>1</v>
      </c>
      <c r="H104" s="46" t="s">
        <v>49</v>
      </c>
      <c r="I104" s="51" t="s">
        <v>50</v>
      </c>
      <c r="J104" s="52">
        <v>4</v>
      </c>
      <c r="K104" s="53">
        <v>50000</v>
      </c>
      <c r="L104" s="54">
        <v>0</v>
      </c>
      <c r="M104" s="54">
        <v>0</v>
      </c>
      <c r="N104" s="53">
        <f>K104+L104-M104</f>
        <v>50000</v>
      </c>
      <c r="O104" s="54">
        <v>0</v>
      </c>
      <c r="P104" s="54">
        <v>0</v>
      </c>
      <c r="Q104" s="54">
        <v>0</v>
      </c>
      <c r="R104" s="53">
        <f>N104-O104+P104+Q104</f>
        <v>50000</v>
      </c>
      <c r="S104" s="54">
        <v>0</v>
      </c>
      <c r="T104" s="55">
        <f>S104/R104</f>
        <v>0</v>
      </c>
      <c r="U104" s="54">
        <v>0</v>
      </c>
      <c r="V104" s="55">
        <f>U104/R104</f>
        <v>0</v>
      </c>
      <c r="W104" s="54">
        <v>0</v>
      </c>
      <c r="X104" s="56">
        <f>W104/R104</f>
        <v>0</v>
      </c>
      <c r="Y104" s="57"/>
    </row>
    <row r="105" spans="1:25" s="58" customFormat="1" ht="39" customHeight="1" x14ac:dyDescent="0.2">
      <c r="A105" s="81" t="s">
        <v>113</v>
      </c>
      <c r="B105" s="45" t="s">
        <v>114</v>
      </c>
      <c r="C105" s="46" t="s">
        <v>48</v>
      </c>
      <c r="D105" s="47" t="s">
        <v>119</v>
      </c>
      <c r="E105" s="82" t="s">
        <v>47</v>
      </c>
      <c r="F105" s="49" t="s">
        <v>120</v>
      </c>
      <c r="G105" s="50">
        <v>1</v>
      </c>
      <c r="H105" s="46" t="s">
        <v>115</v>
      </c>
      <c r="I105" s="85" t="s">
        <v>116</v>
      </c>
      <c r="J105" s="52">
        <v>3</v>
      </c>
      <c r="K105" s="53">
        <v>1000</v>
      </c>
      <c r="L105" s="54">
        <v>0</v>
      </c>
      <c r="M105" s="54">
        <v>0</v>
      </c>
      <c r="N105" s="53">
        <f>K105+L105-M105</f>
        <v>1000</v>
      </c>
      <c r="O105" s="54">
        <v>0</v>
      </c>
      <c r="P105" s="54">
        <v>0</v>
      </c>
      <c r="Q105" s="54">
        <v>0</v>
      </c>
      <c r="R105" s="53">
        <f>N105-O105+P105+Q105</f>
        <v>1000</v>
      </c>
      <c r="S105" s="54">
        <v>0</v>
      </c>
      <c r="T105" s="55">
        <f>S105/R105</f>
        <v>0</v>
      </c>
      <c r="U105" s="54">
        <v>0</v>
      </c>
      <c r="V105" s="55">
        <f>U105/R105</f>
        <v>0</v>
      </c>
      <c r="W105" s="54">
        <v>0</v>
      </c>
      <c r="X105" s="56">
        <f>W105/R105</f>
        <v>0</v>
      </c>
      <c r="Y105" s="57"/>
    </row>
    <row r="106" spans="1:25" s="41" customFormat="1" ht="9" customHeight="1" x14ac:dyDescent="0.2">
      <c r="A106" s="59"/>
      <c r="B106" s="60"/>
      <c r="C106" s="61"/>
      <c r="D106" s="62"/>
      <c r="E106" s="63"/>
      <c r="F106" s="64"/>
      <c r="G106" s="65"/>
      <c r="H106" s="61"/>
      <c r="I106" s="66"/>
      <c r="J106" s="67"/>
      <c r="K106" s="68"/>
      <c r="L106" s="69"/>
      <c r="M106" s="69"/>
      <c r="N106" s="68"/>
      <c r="O106" s="69"/>
      <c r="P106" s="69"/>
      <c r="Q106" s="69"/>
      <c r="R106" s="68"/>
      <c r="S106" s="69"/>
      <c r="T106" s="70"/>
      <c r="U106" s="69"/>
      <c r="V106" s="70"/>
      <c r="W106" s="69"/>
      <c r="X106" s="71"/>
    </row>
    <row r="107" spans="1:25" s="43" customFormat="1" ht="39" customHeight="1" x14ac:dyDescent="0.2">
      <c r="A107" s="86" t="s">
        <v>113</v>
      </c>
      <c r="B107" s="195" t="s">
        <v>114</v>
      </c>
      <c r="C107" s="196"/>
      <c r="D107" s="73" t="s">
        <v>121</v>
      </c>
      <c r="E107" s="74" t="s">
        <v>47</v>
      </c>
      <c r="F107" s="195" t="s">
        <v>122</v>
      </c>
      <c r="G107" s="197"/>
      <c r="H107" s="197"/>
      <c r="I107" s="197"/>
      <c r="J107" s="196"/>
      <c r="K107" s="75">
        <f>SUM(K108:K109)</f>
        <v>61000</v>
      </c>
      <c r="L107" s="75">
        <f t="shared" ref="L107:S107" si="62">SUM(L108:L109)</f>
        <v>0</v>
      </c>
      <c r="M107" s="75">
        <f t="shared" si="62"/>
        <v>0</v>
      </c>
      <c r="N107" s="75">
        <f t="shared" si="62"/>
        <v>61000</v>
      </c>
      <c r="O107" s="75">
        <f t="shared" si="62"/>
        <v>0</v>
      </c>
      <c r="P107" s="75">
        <f t="shared" si="62"/>
        <v>0</v>
      </c>
      <c r="Q107" s="75">
        <f t="shared" si="62"/>
        <v>0</v>
      </c>
      <c r="R107" s="75">
        <f t="shared" si="62"/>
        <v>61000</v>
      </c>
      <c r="S107" s="75">
        <f t="shared" si="62"/>
        <v>0</v>
      </c>
      <c r="T107" s="76">
        <f>S107/R107</f>
        <v>0</v>
      </c>
      <c r="U107" s="75">
        <f>SUM(U108:U109)</f>
        <v>0</v>
      </c>
      <c r="V107" s="76">
        <f>U107/R107</f>
        <v>0</v>
      </c>
      <c r="W107" s="75">
        <f>SUM(W108:W109)</f>
        <v>0</v>
      </c>
      <c r="X107" s="77">
        <f>W107/R107</f>
        <v>0</v>
      </c>
      <c r="Y107" s="42"/>
    </row>
    <row r="108" spans="1:25" s="58" customFormat="1" ht="39" customHeight="1" x14ac:dyDescent="0.2">
      <c r="A108" s="81" t="s">
        <v>113</v>
      </c>
      <c r="B108" s="45" t="s">
        <v>114</v>
      </c>
      <c r="C108" s="46" t="s">
        <v>48</v>
      </c>
      <c r="D108" s="47" t="s">
        <v>121</v>
      </c>
      <c r="E108" s="82" t="s">
        <v>47</v>
      </c>
      <c r="F108" s="49" t="s">
        <v>123</v>
      </c>
      <c r="G108" s="50">
        <v>1</v>
      </c>
      <c r="H108" s="46" t="s">
        <v>49</v>
      </c>
      <c r="I108" s="51" t="s">
        <v>50</v>
      </c>
      <c r="J108" s="52">
        <v>4</v>
      </c>
      <c r="K108" s="53">
        <v>60000</v>
      </c>
      <c r="L108" s="54">
        <v>0</v>
      </c>
      <c r="M108" s="54">
        <v>0</v>
      </c>
      <c r="N108" s="53">
        <f>K108+L108-M108</f>
        <v>60000</v>
      </c>
      <c r="O108" s="54">
        <v>0</v>
      </c>
      <c r="P108" s="54">
        <v>0</v>
      </c>
      <c r="Q108" s="54">
        <v>0</v>
      </c>
      <c r="R108" s="53">
        <f>N108-O108+P108+Q108</f>
        <v>60000</v>
      </c>
      <c r="S108" s="54">
        <v>0</v>
      </c>
      <c r="T108" s="55">
        <f>S108/R108</f>
        <v>0</v>
      </c>
      <c r="U108" s="54">
        <v>0</v>
      </c>
      <c r="V108" s="55">
        <f>U108/R108</f>
        <v>0</v>
      </c>
      <c r="W108" s="54">
        <v>0</v>
      </c>
      <c r="X108" s="56">
        <f>W108/R108</f>
        <v>0</v>
      </c>
      <c r="Y108" s="57"/>
    </row>
    <row r="109" spans="1:25" s="58" customFormat="1" ht="39" customHeight="1" x14ac:dyDescent="0.2">
      <c r="A109" s="81" t="s">
        <v>113</v>
      </c>
      <c r="B109" s="45" t="s">
        <v>114</v>
      </c>
      <c r="C109" s="46" t="s">
        <v>48</v>
      </c>
      <c r="D109" s="47" t="s">
        <v>121</v>
      </c>
      <c r="E109" s="82" t="s">
        <v>47</v>
      </c>
      <c r="F109" s="49" t="s">
        <v>123</v>
      </c>
      <c r="G109" s="50">
        <v>1</v>
      </c>
      <c r="H109" s="46" t="s">
        <v>115</v>
      </c>
      <c r="I109" s="85" t="s">
        <v>116</v>
      </c>
      <c r="J109" s="52">
        <v>3</v>
      </c>
      <c r="K109" s="53">
        <v>1000</v>
      </c>
      <c r="L109" s="54">
        <v>0</v>
      </c>
      <c r="M109" s="54">
        <v>0</v>
      </c>
      <c r="N109" s="53">
        <f>K109+L109-M109</f>
        <v>1000</v>
      </c>
      <c r="O109" s="54">
        <v>0</v>
      </c>
      <c r="P109" s="54">
        <v>0</v>
      </c>
      <c r="Q109" s="54">
        <v>0</v>
      </c>
      <c r="R109" s="53">
        <f>N109-O109+P109+Q109</f>
        <v>1000</v>
      </c>
      <c r="S109" s="54">
        <v>0</v>
      </c>
      <c r="T109" s="55">
        <f>S109/R109</f>
        <v>0</v>
      </c>
      <c r="U109" s="54">
        <v>0</v>
      </c>
      <c r="V109" s="55">
        <f>U109/R109</f>
        <v>0</v>
      </c>
      <c r="W109" s="54">
        <v>0</v>
      </c>
      <c r="X109" s="56">
        <f>W109/R109</f>
        <v>0</v>
      </c>
      <c r="Y109" s="57"/>
    </row>
    <row r="110" spans="1:25" s="41" customFormat="1" ht="9" customHeight="1" x14ac:dyDescent="0.2">
      <c r="A110" s="87"/>
      <c r="B110" s="60"/>
      <c r="C110" s="61"/>
      <c r="D110" s="62"/>
      <c r="E110" s="63"/>
      <c r="F110" s="64"/>
      <c r="G110" s="65"/>
      <c r="H110" s="61"/>
      <c r="I110" s="66"/>
      <c r="J110" s="67"/>
      <c r="K110" s="69"/>
      <c r="L110" s="69"/>
      <c r="M110" s="69"/>
      <c r="N110" s="69"/>
      <c r="O110" s="69"/>
      <c r="P110" s="69"/>
      <c r="Q110" s="69"/>
      <c r="R110" s="69"/>
      <c r="S110" s="69"/>
      <c r="T110" s="70"/>
      <c r="U110" s="69"/>
      <c r="V110" s="70"/>
      <c r="W110" s="69"/>
      <c r="X110" s="71"/>
    </row>
    <row r="111" spans="1:25" s="43" customFormat="1" ht="39" customHeight="1" x14ac:dyDescent="0.2">
      <c r="A111" s="86" t="s">
        <v>113</v>
      </c>
      <c r="B111" s="195" t="s">
        <v>114</v>
      </c>
      <c r="C111" s="196"/>
      <c r="D111" s="73" t="s">
        <v>124</v>
      </c>
      <c r="E111" s="74" t="s">
        <v>47</v>
      </c>
      <c r="F111" s="195" t="s">
        <v>125</v>
      </c>
      <c r="G111" s="197"/>
      <c r="H111" s="197"/>
      <c r="I111" s="197"/>
      <c r="J111" s="196"/>
      <c r="K111" s="75">
        <f>SUM(K112:K113)</f>
        <v>500000</v>
      </c>
      <c r="L111" s="75">
        <f t="shared" ref="L111:S111" si="63">SUM(L112:L113)</f>
        <v>0</v>
      </c>
      <c r="M111" s="75">
        <f t="shared" si="63"/>
        <v>0</v>
      </c>
      <c r="N111" s="75">
        <f t="shared" si="63"/>
        <v>500000</v>
      </c>
      <c r="O111" s="75">
        <f t="shared" si="63"/>
        <v>0</v>
      </c>
      <c r="P111" s="75">
        <f t="shared" si="63"/>
        <v>0</v>
      </c>
      <c r="Q111" s="75">
        <f t="shared" si="63"/>
        <v>0</v>
      </c>
      <c r="R111" s="75">
        <f t="shared" si="63"/>
        <v>500000</v>
      </c>
      <c r="S111" s="75">
        <f t="shared" si="63"/>
        <v>0</v>
      </c>
      <c r="T111" s="76">
        <f>S111/R111</f>
        <v>0</v>
      </c>
      <c r="U111" s="75">
        <f>SUM(U112:U113)</f>
        <v>0</v>
      </c>
      <c r="V111" s="76">
        <f>U111/R111</f>
        <v>0</v>
      </c>
      <c r="W111" s="75">
        <f>SUM(W112:W113)</f>
        <v>0</v>
      </c>
      <c r="X111" s="77">
        <f>W111/R111</f>
        <v>0</v>
      </c>
      <c r="Y111" s="42"/>
    </row>
    <row r="112" spans="1:25" s="58" customFormat="1" ht="39" customHeight="1" x14ac:dyDescent="0.2">
      <c r="A112" s="81" t="s">
        <v>113</v>
      </c>
      <c r="B112" s="45" t="s">
        <v>114</v>
      </c>
      <c r="C112" s="46" t="s">
        <v>48</v>
      </c>
      <c r="D112" s="47" t="s">
        <v>124</v>
      </c>
      <c r="E112" s="82" t="s">
        <v>47</v>
      </c>
      <c r="F112" s="49" t="s">
        <v>125</v>
      </c>
      <c r="G112" s="50">
        <v>1</v>
      </c>
      <c r="H112" s="46" t="s">
        <v>49</v>
      </c>
      <c r="I112" s="51" t="s">
        <v>50</v>
      </c>
      <c r="J112" s="52">
        <v>4</v>
      </c>
      <c r="K112" s="53">
        <v>250000</v>
      </c>
      <c r="L112" s="54">
        <v>0</v>
      </c>
      <c r="M112" s="54">
        <v>0</v>
      </c>
      <c r="N112" s="53">
        <f>K112+L112-M112</f>
        <v>250000</v>
      </c>
      <c r="O112" s="54">
        <v>0</v>
      </c>
      <c r="P112" s="54">
        <v>0</v>
      </c>
      <c r="Q112" s="54">
        <v>0</v>
      </c>
      <c r="R112" s="53">
        <f>N112-O112+P112+Q112</f>
        <v>250000</v>
      </c>
      <c r="S112" s="54">
        <v>0</v>
      </c>
      <c r="T112" s="55">
        <f>S112/R112</f>
        <v>0</v>
      </c>
      <c r="U112" s="54">
        <v>0</v>
      </c>
      <c r="V112" s="55">
        <f>U112/R112</f>
        <v>0</v>
      </c>
      <c r="W112" s="54">
        <v>0</v>
      </c>
      <c r="X112" s="56">
        <f>W112/R112</f>
        <v>0</v>
      </c>
      <c r="Y112" s="57"/>
    </row>
    <row r="113" spans="1:25" s="58" customFormat="1" ht="39" customHeight="1" x14ac:dyDescent="0.2">
      <c r="A113" s="81" t="s">
        <v>113</v>
      </c>
      <c r="B113" s="45" t="s">
        <v>114</v>
      </c>
      <c r="C113" s="46" t="s">
        <v>48</v>
      </c>
      <c r="D113" s="47" t="s">
        <v>124</v>
      </c>
      <c r="E113" s="82" t="s">
        <v>47</v>
      </c>
      <c r="F113" s="49" t="s">
        <v>125</v>
      </c>
      <c r="G113" s="50">
        <v>1</v>
      </c>
      <c r="H113" s="46" t="s">
        <v>115</v>
      </c>
      <c r="I113" s="85" t="s">
        <v>116</v>
      </c>
      <c r="J113" s="52">
        <v>3</v>
      </c>
      <c r="K113" s="53">
        <v>250000</v>
      </c>
      <c r="L113" s="54">
        <v>0</v>
      </c>
      <c r="M113" s="54">
        <v>0</v>
      </c>
      <c r="N113" s="53">
        <f>K113+L113-M113</f>
        <v>250000</v>
      </c>
      <c r="O113" s="54">
        <v>0</v>
      </c>
      <c r="P113" s="54">
        <v>0</v>
      </c>
      <c r="Q113" s="54">
        <v>0</v>
      </c>
      <c r="R113" s="53">
        <f>N113-O113+P113+Q113</f>
        <v>250000</v>
      </c>
      <c r="S113" s="54">
        <v>0</v>
      </c>
      <c r="T113" s="55">
        <f>S113/R113</f>
        <v>0</v>
      </c>
      <c r="U113" s="54">
        <v>0</v>
      </c>
      <c r="V113" s="55">
        <f>U113/R113</f>
        <v>0</v>
      </c>
      <c r="W113" s="54">
        <v>0</v>
      </c>
      <c r="X113" s="56">
        <f>W113/R113</f>
        <v>0</v>
      </c>
      <c r="Y113" s="57"/>
    </row>
    <row r="114" spans="1:25" s="41" customFormat="1" ht="9" customHeight="1" x14ac:dyDescent="0.2">
      <c r="A114" s="87"/>
      <c r="B114" s="60"/>
      <c r="C114" s="61"/>
      <c r="D114" s="62"/>
      <c r="E114" s="63"/>
      <c r="F114" s="64"/>
      <c r="G114" s="65"/>
      <c r="H114" s="61"/>
      <c r="I114" s="66"/>
      <c r="J114" s="67"/>
      <c r="K114" s="69"/>
      <c r="L114" s="69"/>
      <c r="M114" s="69"/>
      <c r="N114" s="69"/>
      <c r="O114" s="69"/>
      <c r="P114" s="69"/>
      <c r="Q114" s="69"/>
      <c r="R114" s="69"/>
      <c r="S114" s="69"/>
      <c r="T114" s="70"/>
      <c r="U114" s="69"/>
      <c r="V114" s="70"/>
      <c r="W114" s="69"/>
      <c r="X114" s="71"/>
    </row>
    <row r="115" spans="1:25" s="43" customFormat="1" ht="39" customHeight="1" x14ac:dyDescent="0.2">
      <c r="A115" s="86" t="s">
        <v>113</v>
      </c>
      <c r="B115" s="195" t="s">
        <v>114</v>
      </c>
      <c r="C115" s="196"/>
      <c r="D115" s="73" t="s">
        <v>126</v>
      </c>
      <c r="E115" s="74" t="s">
        <v>47</v>
      </c>
      <c r="F115" s="195" t="s">
        <v>127</v>
      </c>
      <c r="G115" s="197"/>
      <c r="H115" s="197"/>
      <c r="I115" s="197"/>
      <c r="J115" s="196"/>
      <c r="K115" s="75">
        <f>K116</f>
        <v>100000</v>
      </c>
      <c r="L115" s="75">
        <f t="shared" ref="L115:S115" si="64">L116</f>
        <v>0</v>
      </c>
      <c r="M115" s="75">
        <f t="shared" si="64"/>
        <v>0</v>
      </c>
      <c r="N115" s="75">
        <f t="shared" si="64"/>
        <v>100000</v>
      </c>
      <c r="O115" s="75">
        <f t="shared" si="64"/>
        <v>0</v>
      </c>
      <c r="P115" s="75">
        <f t="shared" si="64"/>
        <v>0</v>
      </c>
      <c r="Q115" s="75">
        <f t="shared" si="64"/>
        <v>0</v>
      </c>
      <c r="R115" s="75">
        <f t="shared" si="64"/>
        <v>100000</v>
      </c>
      <c r="S115" s="75">
        <f t="shared" si="64"/>
        <v>0</v>
      </c>
      <c r="T115" s="76">
        <f>S115/R115</f>
        <v>0</v>
      </c>
      <c r="U115" s="75">
        <f>U116</f>
        <v>0</v>
      </c>
      <c r="V115" s="76">
        <f>U115/R115</f>
        <v>0</v>
      </c>
      <c r="W115" s="75">
        <f>W116</f>
        <v>0</v>
      </c>
      <c r="X115" s="77">
        <f>W115/R115</f>
        <v>0</v>
      </c>
      <c r="Y115" s="42"/>
    </row>
    <row r="116" spans="1:25" s="58" customFormat="1" ht="39" customHeight="1" x14ac:dyDescent="0.2">
      <c r="A116" s="81" t="s">
        <v>113</v>
      </c>
      <c r="B116" s="45" t="s">
        <v>114</v>
      </c>
      <c r="C116" s="46" t="s">
        <v>48</v>
      </c>
      <c r="D116" s="47" t="s">
        <v>126</v>
      </c>
      <c r="E116" s="48" t="s">
        <v>47</v>
      </c>
      <c r="F116" s="49" t="s">
        <v>127</v>
      </c>
      <c r="G116" s="50">
        <v>1</v>
      </c>
      <c r="H116" s="46" t="s">
        <v>115</v>
      </c>
      <c r="I116" s="85" t="s">
        <v>116</v>
      </c>
      <c r="J116" s="52">
        <v>3</v>
      </c>
      <c r="K116" s="53">
        <v>100000</v>
      </c>
      <c r="L116" s="54">
        <v>0</v>
      </c>
      <c r="M116" s="54">
        <v>0</v>
      </c>
      <c r="N116" s="53">
        <f>K116+L116-M116</f>
        <v>100000</v>
      </c>
      <c r="O116" s="54">
        <v>0</v>
      </c>
      <c r="P116" s="54">
        <v>0</v>
      </c>
      <c r="Q116" s="54">
        <v>0</v>
      </c>
      <c r="R116" s="53">
        <f>N116-O116+P116+Q116</f>
        <v>100000</v>
      </c>
      <c r="S116" s="54">
        <v>0</v>
      </c>
      <c r="T116" s="55">
        <f>S116/R116</f>
        <v>0</v>
      </c>
      <c r="U116" s="54">
        <v>0</v>
      </c>
      <c r="V116" s="55">
        <f>U116/R116</f>
        <v>0</v>
      </c>
      <c r="W116" s="54">
        <v>0</v>
      </c>
      <c r="X116" s="56">
        <f>W116/R116</f>
        <v>0</v>
      </c>
      <c r="Y116" s="57"/>
    </row>
    <row r="117" spans="1:25" s="41" customFormat="1" ht="9" customHeight="1" x14ac:dyDescent="0.2">
      <c r="A117" s="87"/>
      <c r="B117" s="60"/>
      <c r="C117" s="61"/>
      <c r="D117" s="62"/>
      <c r="E117" s="63"/>
      <c r="F117" s="64"/>
      <c r="G117" s="65"/>
      <c r="H117" s="61"/>
      <c r="I117" s="66"/>
      <c r="J117" s="67"/>
      <c r="K117" s="69"/>
      <c r="L117" s="69"/>
      <c r="M117" s="69"/>
      <c r="N117" s="69"/>
      <c r="O117" s="69"/>
      <c r="P117" s="69"/>
      <c r="Q117" s="69"/>
      <c r="R117" s="69"/>
      <c r="S117" s="69"/>
      <c r="T117" s="70"/>
      <c r="U117" s="69"/>
      <c r="V117" s="70"/>
      <c r="W117" s="69"/>
      <c r="X117" s="71"/>
    </row>
    <row r="118" spans="1:25" s="43" customFormat="1" ht="39" customHeight="1" x14ac:dyDescent="0.2">
      <c r="A118" s="86" t="s">
        <v>113</v>
      </c>
      <c r="B118" s="195" t="s">
        <v>114</v>
      </c>
      <c r="C118" s="196"/>
      <c r="D118" s="73" t="s">
        <v>128</v>
      </c>
      <c r="E118" s="74" t="s">
        <v>47</v>
      </c>
      <c r="F118" s="195" t="s">
        <v>129</v>
      </c>
      <c r="G118" s="197"/>
      <c r="H118" s="197"/>
      <c r="I118" s="197"/>
      <c r="J118" s="196"/>
      <c r="K118" s="75">
        <f>SUM(K119:K119)</f>
        <v>215000</v>
      </c>
      <c r="L118" s="75">
        <f t="shared" ref="L118:S118" si="65">SUM(L119:L119)</f>
        <v>0</v>
      </c>
      <c r="M118" s="75">
        <f t="shared" si="65"/>
        <v>0</v>
      </c>
      <c r="N118" s="75">
        <f t="shared" si="65"/>
        <v>215000</v>
      </c>
      <c r="O118" s="75">
        <f t="shared" si="65"/>
        <v>0</v>
      </c>
      <c r="P118" s="75">
        <f t="shared" si="65"/>
        <v>0</v>
      </c>
      <c r="Q118" s="75">
        <f t="shared" si="65"/>
        <v>0</v>
      </c>
      <c r="R118" s="75">
        <f t="shared" si="65"/>
        <v>215000</v>
      </c>
      <c r="S118" s="75">
        <f t="shared" si="65"/>
        <v>13156.06</v>
      </c>
      <c r="T118" s="76">
        <f>S118/R118</f>
        <v>6.1190976744186047E-2</v>
      </c>
      <c r="U118" s="75">
        <f>SUM(U119:U119)</f>
        <v>13156.06</v>
      </c>
      <c r="V118" s="76">
        <f>U118/R118</f>
        <v>6.1190976744186047E-2</v>
      </c>
      <c r="W118" s="75">
        <f>SUM(W119:W119)</f>
        <v>13156.06</v>
      </c>
      <c r="X118" s="77">
        <f>W118/R118</f>
        <v>6.1190976744186047E-2</v>
      </c>
      <c r="Y118" s="42"/>
    </row>
    <row r="119" spans="1:25" s="58" customFormat="1" ht="39" customHeight="1" x14ac:dyDescent="0.2">
      <c r="A119" s="81" t="s">
        <v>113</v>
      </c>
      <c r="B119" s="45" t="s">
        <v>114</v>
      </c>
      <c r="C119" s="46" t="s">
        <v>48</v>
      </c>
      <c r="D119" s="47" t="s">
        <v>128</v>
      </c>
      <c r="E119" s="48" t="s">
        <v>47</v>
      </c>
      <c r="F119" s="49" t="s">
        <v>130</v>
      </c>
      <c r="G119" s="50">
        <v>1</v>
      </c>
      <c r="H119" s="46" t="s">
        <v>115</v>
      </c>
      <c r="I119" s="85" t="s">
        <v>116</v>
      </c>
      <c r="J119" s="52">
        <v>3</v>
      </c>
      <c r="K119" s="53">
        <v>215000</v>
      </c>
      <c r="L119" s="54">
        <v>0</v>
      </c>
      <c r="M119" s="54">
        <v>0</v>
      </c>
      <c r="N119" s="53">
        <f>K119+L119-M119</f>
        <v>215000</v>
      </c>
      <c r="O119" s="54">
        <v>0</v>
      </c>
      <c r="P119" s="54">
        <v>0</v>
      </c>
      <c r="Q119" s="54">
        <v>0</v>
      </c>
      <c r="R119" s="53">
        <f>N119-O119+P119+Q119</f>
        <v>215000</v>
      </c>
      <c r="S119" s="54">
        <v>13156.06</v>
      </c>
      <c r="T119" s="55">
        <f>S119/R119</f>
        <v>6.1190976744186047E-2</v>
      </c>
      <c r="U119" s="54">
        <f>13156.06</f>
        <v>13156.06</v>
      </c>
      <c r="V119" s="55">
        <f>U119/R119</f>
        <v>6.1190976744186047E-2</v>
      </c>
      <c r="W119" s="54">
        <f>13156.06</f>
        <v>13156.06</v>
      </c>
      <c r="X119" s="56">
        <f>W119/R119</f>
        <v>6.1190976744186047E-2</v>
      </c>
      <c r="Y119" s="57"/>
    </row>
    <row r="120" spans="1:25" s="41" customFormat="1" ht="9" customHeight="1" x14ac:dyDescent="0.2">
      <c r="A120" s="87"/>
      <c r="B120" s="60"/>
      <c r="C120" s="61"/>
      <c r="D120" s="62"/>
      <c r="E120" s="63"/>
      <c r="F120" s="64"/>
      <c r="G120" s="65"/>
      <c r="H120" s="61"/>
      <c r="I120" s="66"/>
      <c r="J120" s="67"/>
      <c r="K120" s="69"/>
      <c r="L120" s="69"/>
      <c r="M120" s="69"/>
      <c r="N120" s="69"/>
      <c r="O120" s="69"/>
      <c r="P120" s="69"/>
      <c r="Q120" s="69"/>
      <c r="R120" s="69"/>
      <c r="S120" s="69"/>
      <c r="T120" s="70"/>
      <c r="U120" s="69"/>
      <c r="V120" s="70"/>
      <c r="W120" s="69"/>
      <c r="X120" s="71"/>
    </row>
    <row r="121" spans="1:25" s="43" customFormat="1" ht="39" customHeight="1" x14ac:dyDescent="0.2">
      <c r="A121" s="86" t="s">
        <v>113</v>
      </c>
      <c r="B121" s="195" t="s">
        <v>114</v>
      </c>
      <c r="C121" s="196"/>
      <c r="D121" s="73" t="s">
        <v>131</v>
      </c>
      <c r="E121" s="74" t="s">
        <v>47</v>
      </c>
      <c r="F121" s="195" t="s">
        <v>132</v>
      </c>
      <c r="G121" s="197"/>
      <c r="H121" s="197"/>
      <c r="I121" s="197"/>
      <c r="J121" s="196"/>
      <c r="K121" s="75">
        <f>SUM(K122:K122)</f>
        <v>1278428</v>
      </c>
      <c r="L121" s="75">
        <f t="shared" ref="L121:S121" si="66">SUM(L122:L122)</f>
        <v>0</v>
      </c>
      <c r="M121" s="75">
        <f t="shared" si="66"/>
        <v>0</v>
      </c>
      <c r="N121" s="75">
        <f t="shared" si="66"/>
        <v>1278428</v>
      </c>
      <c r="O121" s="75">
        <f t="shared" si="66"/>
        <v>0</v>
      </c>
      <c r="P121" s="75">
        <f t="shared" si="66"/>
        <v>0</v>
      </c>
      <c r="Q121" s="75">
        <f t="shared" si="66"/>
        <v>0</v>
      </c>
      <c r="R121" s="75">
        <f t="shared" si="66"/>
        <v>1278428</v>
      </c>
      <c r="S121" s="75">
        <f t="shared" si="66"/>
        <v>423199.87</v>
      </c>
      <c r="T121" s="76">
        <f>S121/R121</f>
        <v>0.33103144643265009</v>
      </c>
      <c r="U121" s="75">
        <f>SUM(U122:U122)</f>
        <v>423199.87</v>
      </c>
      <c r="V121" s="76">
        <f>U121/R121</f>
        <v>0.33103144643265009</v>
      </c>
      <c r="W121" s="75">
        <f>SUM(W122:W122)</f>
        <v>406553.21</v>
      </c>
      <c r="X121" s="77">
        <f>W121/R121</f>
        <v>0.3180102516528111</v>
      </c>
      <c r="Y121" s="42"/>
    </row>
    <row r="122" spans="1:25" s="43" customFormat="1" ht="39" customHeight="1" x14ac:dyDescent="0.2">
      <c r="A122" s="81" t="s">
        <v>113</v>
      </c>
      <c r="B122" s="45" t="s">
        <v>114</v>
      </c>
      <c r="C122" s="46" t="s">
        <v>48</v>
      </c>
      <c r="D122" s="47" t="s">
        <v>131</v>
      </c>
      <c r="E122" s="48" t="s">
        <v>47</v>
      </c>
      <c r="F122" s="49" t="s">
        <v>132</v>
      </c>
      <c r="G122" s="50">
        <v>1</v>
      </c>
      <c r="H122" s="46" t="s">
        <v>115</v>
      </c>
      <c r="I122" s="85" t="s">
        <v>116</v>
      </c>
      <c r="J122" s="52">
        <v>3</v>
      </c>
      <c r="K122" s="53">
        <v>1278428</v>
      </c>
      <c r="L122" s="54">
        <v>0</v>
      </c>
      <c r="M122" s="54">
        <v>0</v>
      </c>
      <c r="N122" s="53">
        <f t="shared" ref="N122" si="67">K122+L122-M122</f>
        <v>1278428</v>
      </c>
      <c r="O122" s="54">
        <v>0</v>
      </c>
      <c r="P122" s="54">
        <v>0</v>
      </c>
      <c r="Q122" s="54">
        <v>0</v>
      </c>
      <c r="R122" s="53">
        <f t="shared" ref="R122" si="68">N122-O122+P122+Q122</f>
        <v>1278428</v>
      </c>
      <c r="S122" s="54">
        <f>142890+280309.87</f>
        <v>423199.87</v>
      </c>
      <c r="T122" s="55">
        <f>S122/R122</f>
        <v>0.33103144643265009</v>
      </c>
      <c r="U122" s="54">
        <f>142890+280309.87</f>
        <v>423199.87</v>
      </c>
      <c r="V122" s="55">
        <f>U122/R122</f>
        <v>0.33103144643265009</v>
      </c>
      <c r="W122" s="54">
        <f>142890+263663.21</f>
        <v>406553.21</v>
      </c>
      <c r="X122" s="56">
        <f>W122/R122</f>
        <v>0.3180102516528111</v>
      </c>
      <c r="Y122" s="42"/>
    </row>
    <row r="123" spans="1:25" s="41" customFormat="1" ht="9" customHeight="1" x14ac:dyDescent="0.2">
      <c r="A123" s="87"/>
      <c r="B123" s="60"/>
      <c r="C123" s="61"/>
      <c r="D123" s="62"/>
      <c r="E123" s="63"/>
      <c r="F123" s="64"/>
      <c r="G123" s="65"/>
      <c r="H123" s="61"/>
      <c r="I123" s="66"/>
      <c r="J123" s="67"/>
      <c r="K123" s="69"/>
      <c r="L123" s="69"/>
      <c r="M123" s="69"/>
      <c r="N123" s="69"/>
      <c r="O123" s="69"/>
      <c r="P123" s="69"/>
      <c r="Q123" s="69"/>
      <c r="R123" s="69"/>
      <c r="S123" s="69"/>
      <c r="T123" s="70"/>
      <c r="U123" s="69"/>
      <c r="V123" s="70"/>
      <c r="W123" s="69"/>
      <c r="X123" s="71"/>
    </row>
    <row r="124" spans="1:25" s="43" customFormat="1" ht="39" customHeight="1" x14ac:dyDescent="0.2">
      <c r="A124" s="86" t="s">
        <v>113</v>
      </c>
      <c r="B124" s="195" t="s">
        <v>114</v>
      </c>
      <c r="C124" s="196"/>
      <c r="D124" s="73" t="s">
        <v>133</v>
      </c>
      <c r="E124" s="74" t="s">
        <v>47</v>
      </c>
      <c r="F124" s="195" t="s">
        <v>134</v>
      </c>
      <c r="G124" s="197"/>
      <c r="H124" s="197"/>
      <c r="I124" s="197"/>
      <c r="J124" s="196"/>
      <c r="K124" s="75">
        <f>SUM(K125:K126)</f>
        <v>30000</v>
      </c>
      <c r="L124" s="75">
        <f t="shared" ref="L124:S124" si="69">SUM(L125:L126)</f>
        <v>0</v>
      </c>
      <c r="M124" s="75">
        <f t="shared" si="69"/>
        <v>0</v>
      </c>
      <c r="N124" s="75">
        <f t="shared" si="69"/>
        <v>30000</v>
      </c>
      <c r="O124" s="75">
        <f t="shared" si="69"/>
        <v>0</v>
      </c>
      <c r="P124" s="75">
        <f t="shared" si="69"/>
        <v>0</v>
      </c>
      <c r="Q124" s="75">
        <f t="shared" si="69"/>
        <v>0</v>
      </c>
      <c r="R124" s="75">
        <f t="shared" si="69"/>
        <v>30000</v>
      </c>
      <c r="S124" s="75">
        <f t="shared" si="69"/>
        <v>0</v>
      </c>
      <c r="T124" s="76">
        <f>S124/R124</f>
        <v>0</v>
      </c>
      <c r="U124" s="75">
        <f>SUM(U125:U126)</f>
        <v>0</v>
      </c>
      <c r="V124" s="76">
        <f>U124/R124</f>
        <v>0</v>
      </c>
      <c r="W124" s="75">
        <f>SUM(W125:W126)</f>
        <v>0</v>
      </c>
      <c r="X124" s="77">
        <f>W124/R124</f>
        <v>0</v>
      </c>
      <c r="Y124" s="88"/>
    </row>
    <row r="125" spans="1:25" s="58" customFormat="1" ht="39" customHeight="1" x14ac:dyDescent="0.2">
      <c r="A125" s="81" t="s">
        <v>113</v>
      </c>
      <c r="B125" s="45" t="s">
        <v>114</v>
      </c>
      <c r="C125" s="46" t="s">
        <v>48</v>
      </c>
      <c r="D125" s="47" t="s">
        <v>133</v>
      </c>
      <c r="E125" s="48" t="s">
        <v>47</v>
      </c>
      <c r="F125" s="49" t="s">
        <v>134</v>
      </c>
      <c r="G125" s="50">
        <v>1</v>
      </c>
      <c r="H125" s="46" t="s">
        <v>49</v>
      </c>
      <c r="I125" s="51" t="s">
        <v>50</v>
      </c>
      <c r="J125" s="52">
        <v>4</v>
      </c>
      <c r="K125" s="53">
        <v>4000</v>
      </c>
      <c r="L125" s="54">
        <v>0</v>
      </c>
      <c r="M125" s="54">
        <v>0</v>
      </c>
      <c r="N125" s="53">
        <f>K125+L125-M125</f>
        <v>4000</v>
      </c>
      <c r="O125" s="54">
        <v>0</v>
      </c>
      <c r="P125" s="54">
        <v>0</v>
      </c>
      <c r="Q125" s="54">
        <v>0</v>
      </c>
      <c r="R125" s="53">
        <f>N125-O125+P125+Q125</f>
        <v>4000</v>
      </c>
      <c r="S125" s="54">
        <v>0</v>
      </c>
      <c r="T125" s="55">
        <f>S125/R125</f>
        <v>0</v>
      </c>
      <c r="U125" s="54">
        <v>0</v>
      </c>
      <c r="V125" s="55">
        <f>U125/R125</f>
        <v>0</v>
      </c>
      <c r="W125" s="54">
        <v>0</v>
      </c>
      <c r="X125" s="56">
        <f>W125/R125</f>
        <v>0</v>
      </c>
      <c r="Y125" s="89"/>
    </row>
    <row r="126" spans="1:25" s="58" customFormat="1" ht="39" customHeight="1" x14ac:dyDescent="0.2">
      <c r="A126" s="81" t="s">
        <v>113</v>
      </c>
      <c r="B126" s="45" t="s">
        <v>114</v>
      </c>
      <c r="C126" s="46" t="s">
        <v>48</v>
      </c>
      <c r="D126" s="47" t="s">
        <v>133</v>
      </c>
      <c r="E126" s="48" t="s">
        <v>47</v>
      </c>
      <c r="F126" s="49" t="s">
        <v>134</v>
      </c>
      <c r="G126" s="50">
        <v>1</v>
      </c>
      <c r="H126" s="46" t="s">
        <v>115</v>
      </c>
      <c r="I126" s="85" t="s">
        <v>116</v>
      </c>
      <c r="J126" s="52">
        <v>3</v>
      </c>
      <c r="K126" s="53">
        <v>26000</v>
      </c>
      <c r="L126" s="54">
        <v>0</v>
      </c>
      <c r="M126" s="54">
        <v>0</v>
      </c>
      <c r="N126" s="53">
        <f>K126+L126-M126</f>
        <v>26000</v>
      </c>
      <c r="O126" s="54">
        <v>0</v>
      </c>
      <c r="P126" s="54">
        <v>0</v>
      </c>
      <c r="Q126" s="54">
        <v>0</v>
      </c>
      <c r="R126" s="53">
        <f>N126-O126+P126+Q126</f>
        <v>26000</v>
      </c>
      <c r="S126" s="54">
        <v>0</v>
      </c>
      <c r="T126" s="55">
        <f>S126/R126</f>
        <v>0</v>
      </c>
      <c r="U126" s="54">
        <v>0</v>
      </c>
      <c r="V126" s="55">
        <f>U126/R126</f>
        <v>0</v>
      </c>
      <c r="W126" s="54">
        <v>0</v>
      </c>
      <c r="X126" s="56">
        <f>W126/R126</f>
        <v>0</v>
      </c>
      <c r="Y126" s="89"/>
    </row>
    <row r="127" spans="1:25" s="41" customFormat="1" ht="9" customHeight="1" x14ac:dyDescent="0.2">
      <c r="A127" s="87"/>
      <c r="B127" s="60"/>
      <c r="C127" s="61"/>
      <c r="D127" s="62"/>
      <c r="E127" s="63"/>
      <c r="F127" s="64"/>
      <c r="G127" s="65"/>
      <c r="H127" s="61"/>
      <c r="I127" s="66"/>
      <c r="J127" s="67"/>
      <c r="K127" s="69"/>
      <c r="L127" s="69"/>
      <c r="M127" s="69"/>
      <c r="N127" s="69"/>
      <c r="O127" s="69"/>
      <c r="P127" s="69"/>
      <c r="Q127" s="69"/>
      <c r="R127" s="69"/>
      <c r="S127" s="69"/>
      <c r="T127" s="70"/>
      <c r="U127" s="69"/>
      <c r="V127" s="70"/>
      <c r="W127" s="69"/>
      <c r="X127" s="71"/>
    </row>
    <row r="128" spans="1:25" s="43" customFormat="1" ht="39" customHeight="1" x14ac:dyDescent="0.2">
      <c r="A128" s="86" t="s">
        <v>113</v>
      </c>
      <c r="B128" s="195" t="s">
        <v>114</v>
      </c>
      <c r="C128" s="196"/>
      <c r="D128" s="73" t="s">
        <v>135</v>
      </c>
      <c r="E128" s="74" t="s">
        <v>47</v>
      </c>
      <c r="F128" s="195" t="s">
        <v>136</v>
      </c>
      <c r="G128" s="197"/>
      <c r="H128" s="197"/>
      <c r="I128" s="197"/>
      <c r="J128" s="196"/>
      <c r="K128" s="75">
        <f>SUM(K129:K132)</f>
        <v>11385906</v>
      </c>
      <c r="L128" s="75">
        <f t="shared" ref="L128:S128" si="70">SUM(L129:L132)</f>
        <v>420984.93</v>
      </c>
      <c r="M128" s="75">
        <f t="shared" si="70"/>
        <v>0</v>
      </c>
      <c r="N128" s="75">
        <f t="shared" si="70"/>
        <v>11806890.93</v>
      </c>
      <c r="O128" s="75">
        <f t="shared" si="70"/>
        <v>0</v>
      </c>
      <c r="P128" s="75">
        <f t="shared" si="70"/>
        <v>0</v>
      </c>
      <c r="Q128" s="75">
        <f t="shared" si="70"/>
        <v>0</v>
      </c>
      <c r="R128" s="75">
        <f t="shared" si="70"/>
        <v>11806890.93</v>
      </c>
      <c r="S128" s="75">
        <f t="shared" si="70"/>
        <v>1320189.8199999998</v>
      </c>
      <c r="T128" s="76">
        <f t="shared" ref="T128:T132" si="71">S128/R128</f>
        <v>0.11181519570453081</v>
      </c>
      <c r="U128" s="75">
        <f>SUM(U129:U132)</f>
        <v>435128.82999999996</v>
      </c>
      <c r="V128" s="76">
        <f t="shared" ref="V128:V132" si="72">U128/R128</f>
        <v>3.6853802798701721E-2</v>
      </c>
      <c r="W128" s="75">
        <f>SUM(W129:W132)</f>
        <v>435128.82999999996</v>
      </c>
      <c r="X128" s="77">
        <f t="shared" ref="X128:X132" si="73">W128/R128</f>
        <v>3.6853802798701721E-2</v>
      </c>
      <c r="Y128" s="42"/>
    </row>
    <row r="129" spans="1:25" s="58" customFormat="1" ht="39" customHeight="1" x14ac:dyDescent="0.2">
      <c r="A129" s="81" t="s">
        <v>113</v>
      </c>
      <c r="B129" s="45" t="s">
        <v>114</v>
      </c>
      <c r="C129" s="46" t="s">
        <v>48</v>
      </c>
      <c r="D129" s="47" t="s">
        <v>135</v>
      </c>
      <c r="E129" s="48" t="s">
        <v>47</v>
      </c>
      <c r="F129" s="49" t="s">
        <v>136</v>
      </c>
      <c r="G129" s="50">
        <v>1</v>
      </c>
      <c r="H129" s="46" t="s">
        <v>49</v>
      </c>
      <c r="I129" s="51" t="s">
        <v>50</v>
      </c>
      <c r="J129" s="46" t="s">
        <v>137</v>
      </c>
      <c r="K129" s="53">
        <v>440786</v>
      </c>
      <c r="L129" s="54">
        <v>0</v>
      </c>
      <c r="M129" s="54">
        <v>0</v>
      </c>
      <c r="N129" s="53">
        <f>K129+L129-M129</f>
        <v>440786</v>
      </c>
      <c r="O129" s="54">
        <v>0</v>
      </c>
      <c r="P129" s="54">
        <v>0</v>
      </c>
      <c r="Q129" s="54">
        <v>0</v>
      </c>
      <c r="R129" s="53">
        <f>N129-O129+P129+Q129</f>
        <v>440786</v>
      </c>
      <c r="S129" s="54">
        <v>0</v>
      </c>
      <c r="T129" s="55">
        <f t="shared" si="71"/>
        <v>0</v>
      </c>
      <c r="U129" s="54">
        <v>0</v>
      </c>
      <c r="V129" s="55">
        <f t="shared" si="72"/>
        <v>0</v>
      </c>
      <c r="W129" s="54">
        <v>0</v>
      </c>
      <c r="X129" s="56">
        <f t="shared" si="73"/>
        <v>0</v>
      </c>
      <c r="Y129" s="57"/>
    </row>
    <row r="130" spans="1:25" s="58" customFormat="1" ht="39" customHeight="1" x14ac:dyDescent="0.2">
      <c r="A130" s="81" t="s">
        <v>113</v>
      </c>
      <c r="B130" s="45" t="s">
        <v>114</v>
      </c>
      <c r="C130" s="46" t="s">
        <v>48</v>
      </c>
      <c r="D130" s="47" t="s">
        <v>135</v>
      </c>
      <c r="E130" s="48" t="s">
        <v>47</v>
      </c>
      <c r="F130" s="49" t="s">
        <v>136</v>
      </c>
      <c r="G130" s="50">
        <v>1</v>
      </c>
      <c r="H130" s="46" t="s">
        <v>115</v>
      </c>
      <c r="I130" s="85" t="s">
        <v>116</v>
      </c>
      <c r="J130" s="52">
        <v>3</v>
      </c>
      <c r="K130" s="53">
        <v>10945120</v>
      </c>
      <c r="L130" s="54">
        <v>0</v>
      </c>
      <c r="M130" s="54">
        <v>0</v>
      </c>
      <c r="N130" s="53">
        <f>K130+L130-M130</f>
        <v>10945120</v>
      </c>
      <c r="O130" s="54">
        <v>0</v>
      </c>
      <c r="P130" s="54">
        <v>0</v>
      </c>
      <c r="Q130" s="54">
        <v>0</v>
      </c>
      <c r="R130" s="53">
        <f>N130-O130+P130+Q130</f>
        <v>10945120</v>
      </c>
      <c r="S130" s="54">
        <f>43511.09+594520.73+532071.02</f>
        <v>1170102.8399999999</v>
      </c>
      <c r="T130" s="55">
        <f t="shared" si="71"/>
        <v>0.10690635095823525</v>
      </c>
      <c r="U130" s="54">
        <f>31343.41+78666.2+175032.24</f>
        <v>285041.84999999998</v>
      </c>
      <c r="V130" s="55">
        <f t="shared" si="72"/>
        <v>2.6042825478386714E-2</v>
      </c>
      <c r="W130" s="54">
        <f>31343.41+77449.63+176248.81</f>
        <v>285041.84999999998</v>
      </c>
      <c r="X130" s="56">
        <f t="shared" si="73"/>
        <v>2.6042825478386714E-2</v>
      </c>
      <c r="Y130" s="57"/>
    </row>
    <row r="131" spans="1:25" s="58" customFormat="1" ht="39" customHeight="1" x14ac:dyDescent="0.2">
      <c r="A131" s="81" t="s">
        <v>113</v>
      </c>
      <c r="B131" s="45" t="s">
        <v>114</v>
      </c>
      <c r="C131" s="46" t="s">
        <v>48</v>
      </c>
      <c r="D131" s="47" t="s">
        <v>135</v>
      </c>
      <c r="E131" s="48" t="s">
        <v>47</v>
      </c>
      <c r="F131" s="49" t="s">
        <v>136</v>
      </c>
      <c r="G131" s="50">
        <v>1</v>
      </c>
      <c r="H131" s="162" t="s">
        <v>271</v>
      </c>
      <c r="I131" s="164" t="s">
        <v>272</v>
      </c>
      <c r="J131" s="52">
        <v>3</v>
      </c>
      <c r="K131" s="53">
        <v>0</v>
      </c>
      <c r="L131" s="54">
        <f>24563.93</f>
        <v>24563.93</v>
      </c>
      <c r="M131" s="54">
        <v>0</v>
      </c>
      <c r="N131" s="53">
        <f t="shared" ref="N131:N132" si="74">K131+L131-M131</f>
        <v>24563.93</v>
      </c>
      <c r="O131" s="54">
        <v>0</v>
      </c>
      <c r="P131" s="54">
        <v>0</v>
      </c>
      <c r="Q131" s="54">
        <v>0</v>
      </c>
      <c r="R131" s="53">
        <f t="shared" ref="R131:R132" si="75">N131-O131+P131+Q131</f>
        <v>24563.93</v>
      </c>
      <c r="S131" s="54">
        <v>0</v>
      </c>
      <c r="T131" s="55">
        <f t="shared" si="71"/>
        <v>0</v>
      </c>
      <c r="U131" s="54">
        <v>0</v>
      </c>
      <c r="V131" s="55">
        <f t="shared" si="72"/>
        <v>0</v>
      </c>
      <c r="W131" s="54">
        <v>0</v>
      </c>
      <c r="X131" s="56">
        <f t="shared" si="73"/>
        <v>0</v>
      </c>
      <c r="Y131" s="57"/>
    </row>
    <row r="132" spans="1:25" s="58" customFormat="1" ht="39" customHeight="1" x14ac:dyDescent="0.2">
      <c r="A132" s="81" t="s">
        <v>113</v>
      </c>
      <c r="B132" s="45" t="s">
        <v>114</v>
      </c>
      <c r="C132" s="46" t="s">
        <v>48</v>
      </c>
      <c r="D132" s="47" t="s">
        <v>135</v>
      </c>
      <c r="E132" s="48" t="s">
        <v>47</v>
      </c>
      <c r="F132" s="49" t="s">
        <v>136</v>
      </c>
      <c r="G132" s="50">
        <v>1</v>
      </c>
      <c r="H132" s="162" t="s">
        <v>273</v>
      </c>
      <c r="I132" s="163" t="s">
        <v>274</v>
      </c>
      <c r="J132" s="52">
        <v>3</v>
      </c>
      <c r="K132" s="53">
        <v>0</v>
      </c>
      <c r="L132" s="54">
        <f>396421</f>
        <v>396421</v>
      </c>
      <c r="M132" s="54">
        <v>0</v>
      </c>
      <c r="N132" s="53">
        <f t="shared" si="74"/>
        <v>396421</v>
      </c>
      <c r="O132" s="54">
        <v>0</v>
      </c>
      <c r="P132" s="54">
        <v>0</v>
      </c>
      <c r="Q132" s="54">
        <v>0</v>
      </c>
      <c r="R132" s="53">
        <f t="shared" si="75"/>
        <v>396421</v>
      </c>
      <c r="S132" s="54">
        <f>126068.74+24018.24</f>
        <v>150086.98000000001</v>
      </c>
      <c r="T132" s="55">
        <f t="shared" si="71"/>
        <v>0.37860501840215327</v>
      </c>
      <c r="U132" s="54">
        <f>126068.74+24018.24</f>
        <v>150086.98000000001</v>
      </c>
      <c r="V132" s="55">
        <f t="shared" si="72"/>
        <v>0.37860501840215327</v>
      </c>
      <c r="W132" s="54">
        <f>126068.74+24018.24</f>
        <v>150086.98000000001</v>
      </c>
      <c r="X132" s="56">
        <f t="shared" si="73"/>
        <v>0.37860501840215327</v>
      </c>
      <c r="Y132" s="57"/>
    </row>
    <row r="133" spans="1:25" s="41" customFormat="1" ht="9" customHeight="1" x14ac:dyDescent="0.2">
      <c r="A133" s="59"/>
      <c r="B133" s="60"/>
      <c r="C133" s="61"/>
      <c r="D133" s="62"/>
      <c r="E133" s="63"/>
      <c r="F133" s="64"/>
      <c r="G133" s="65"/>
      <c r="H133" s="61"/>
      <c r="I133" s="66"/>
      <c r="J133" s="67"/>
      <c r="K133" s="68"/>
      <c r="L133" s="69"/>
      <c r="M133" s="69"/>
      <c r="N133" s="68"/>
      <c r="O133" s="69"/>
      <c r="P133" s="69"/>
      <c r="Q133" s="69"/>
      <c r="R133" s="68"/>
      <c r="S133" s="69"/>
      <c r="T133" s="70"/>
      <c r="U133" s="69"/>
      <c r="V133" s="70"/>
      <c r="W133" s="69"/>
      <c r="X133" s="71"/>
    </row>
    <row r="134" spans="1:25" s="43" customFormat="1" ht="39" customHeight="1" x14ac:dyDescent="0.2">
      <c r="A134" s="86" t="s">
        <v>113</v>
      </c>
      <c r="B134" s="195" t="s">
        <v>114</v>
      </c>
      <c r="C134" s="196"/>
      <c r="D134" s="73" t="s">
        <v>138</v>
      </c>
      <c r="E134" s="74" t="s">
        <v>47</v>
      </c>
      <c r="F134" s="195" t="s">
        <v>139</v>
      </c>
      <c r="G134" s="197"/>
      <c r="H134" s="197"/>
      <c r="I134" s="197"/>
      <c r="J134" s="196"/>
      <c r="K134" s="75">
        <f>SUM(K135:K137)</f>
        <v>2166330</v>
      </c>
      <c r="L134" s="75">
        <f t="shared" ref="L134:S134" si="76">SUM(L135:L137)</f>
        <v>6918</v>
      </c>
      <c r="M134" s="75">
        <f t="shared" si="76"/>
        <v>0</v>
      </c>
      <c r="N134" s="75">
        <f t="shared" si="76"/>
        <v>2173248</v>
      </c>
      <c r="O134" s="75">
        <f t="shared" si="76"/>
        <v>0</v>
      </c>
      <c r="P134" s="75">
        <f t="shared" si="76"/>
        <v>0</v>
      </c>
      <c r="Q134" s="75">
        <f t="shared" si="76"/>
        <v>0</v>
      </c>
      <c r="R134" s="75">
        <f t="shared" si="76"/>
        <v>2173248</v>
      </c>
      <c r="S134" s="75">
        <f t="shared" si="76"/>
        <v>159681.46000000002</v>
      </c>
      <c r="T134" s="76">
        <f>S134/R134</f>
        <v>7.3475949362428961E-2</v>
      </c>
      <c r="U134" s="75">
        <f>SUM(U135:U137)</f>
        <v>79316.3</v>
      </c>
      <c r="V134" s="76">
        <f>U134/R134</f>
        <v>3.6496663059163062E-2</v>
      </c>
      <c r="W134" s="75">
        <f>SUM(W135:W137)</f>
        <v>79316.3</v>
      </c>
      <c r="X134" s="77">
        <f>W134/R134</f>
        <v>3.6496663059163062E-2</v>
      </c>
      <c r="Y134" s="42"/>
    </row>
    <row r="135" spans="1:25" s="58" customFormat="1" ht="39" customHeight="1" x14ac:dyDescent="0.2">
      <c r="A135" s="81" t="s">
        <v>113</v>
      </c>
      <c r="B135" s="45" t="s">
        <v>114</v>
      </c>
      <c r="C135" s="46" t="s">
        <v>48</v>
      </c>
      <c r="D135" s="47" t="s">
        <v>138</v>
      </c>
      <c r="E135" s="48" t="s">
        <v>47</v>
      </c>
      <c r="F135" s="49" t="s">
        <v>139</v>
      </c>
      <c r="G135" s="50">
        <v>1</v>
      </c>
      <c r="H135" s="46" t="s">
        <v>49</v>
      </c>
      <c r="I135" s="51" t="s">
        <v>50</v>
      </c>
      <c r="J135" s="46" t="s">
        <v>137</v>
      </c>
      <c r="K135" s="53">
        <v>10000</v>
      </c>
      <c r="L135" s="54">
        <v>0</v>
      </c>
      <c r="M135" s="54">
        <v>0</v>
      </c>
      <c r="N135" s="53">
        <f>K135+L135-M135</f>
        <v>10000</v>
      </c>
      <c r="O135" s="54">
        <v>0</v>
      </c>
      <c r="P135" s="54">
        <v>0</v>
      </c>
      <c r="Q135" s="54">
        <v>0</v>
      </c>
      <c r="R135" s="53">
        <f>N135-O135+P135+Q135</f>
        <v>10000</v>
      </c>
      <c r="S135" s="54">
        <v>0</v>
      </c>
      <c r="T135" s="55">
        <f>S135/R135</f>
        <v>0</v>
      </c>
      <c r="U135" s="54">
        <v>0</v>
      </c>
      <c r="V135" s="55">
        <f>U135/R135</f>
        <v>0</v>
      </c>
      <c r="W135" s="54">
        <v>0</v>
      </c>
      <c r="X135" s="56">
        <f>W135/R135</f>
        <v>0</v>
      </c>
      <c r="Y135" s="57"/>
    </row>
    <row r="136" spans="1:25" s="58" customFormat="1" ht="39" customHeight="1" x14ac:dyDescent="0.2">
      <c r="A136" s="81" t="s">
        <v>113</v>
      </c>
      <c r="B136" s="45" t="s">
        <v>114</v>
      </c>
      <c r="C136" s="46" t="s">
        <v>48</v>
      </c>
      <c r="D136" s="47" t="s">
        <v>138</v>
      </c>
      <c r="E136" s="48" t="s">
        <v>47</v>
      </c>
      <c r="F136" s="49" t="s">
        <v>139</v>
      </c>
      <c r="G136" s="50">
        <v>1</v>
      </c>
      <c r="H136" s="46" t="s">
        <v>115</v>
      </c>
      <c r="I136" s="85" t="s">
        <v>140</v>
      </c>
      <c r="J136" s="52">
        <v>3</v>
      </c>
      <c r="K136" s="53">
        <v>2156330</v>
      </c>
      <c r="L136" s="54">
        <v>0</v>
      </c>
      <c r="M136" s="54">
        <v>0</v>
      </c>
      <c r="N136" s="53">
        <f>K136+L136-M136</f>
        <v>2156330</v>
      </c>
      <c r="O136" s="54">
        <v>0</v>
      </c>
      <c r="P136" s="54">
        <v>0</v>
      </c>
      <c r="Q136" s="54">
        <v>0</v>
      </c>
      <c r="R136" s="53">
        <f>N136-O136+P136+Q136</f>
        <v>2156330</v>
      </c>
      <c r="S136" s="54">
        <f>19050.7+44437.76+89275.08</f>
        <v>152763.54</v>
      </c>
      <c r="T136" s="55">
        <f>S136/R136</f>
        <v>7.0844230706802763E-2</v>
      </c>
      <c r="U136" s="54">
        <f>20933.78+51464.6</f>
        <v>72398.38</v>
      </c>
      <c r="V136" s="55">
        <f>U136/R136</f>
        <v>3.3574814615573684E-2</v>
      </c>
      <c r="W136" s="54">
        <f>20933.78+51464.6</f>
        <v>72398.38</v>
      </c>
      <c r="X136" s="56">
        <f>W136/R136</f>
        <v>3.3574814615573684E-2</v>
      </c>
      <c r="Y136" s="57"/>
    </row>
    <row r="137" spans="1:25" s="58" customFormat="1" ht="39" customHeight="1" x14ac:dyDescent="0.2">
      <c r="A137" s="81" t="s">
        <v>113</v>
      </c>
      <c r="B137" s="45" t="s">
        <v>114</v>
      </c>
      <c r="C137" s="46" t="s">
        <v>48</v>
      </c>
      <c r="D137" s="47" t="s">
        <v>138</v>
      </c>
      <c r="E137" s="48" t="s">
        <v>47</v>
      </c>
      <c r="F137" s="49" t="s">
        <v>139</v>
      </c>
      <c r="G137" s="50">
        <v>1</v>
      </c>
      <c r="H137" s="162" t="s">
        <v>273</v>
      </c>
      <c r="I137" s="163" t="s">
        <v>274</v>
      </c>
      <c r="J137" s="52">
        <v>3</v>
      </c>
      <c r="K137" s="53">
        <v>0</v>
      </c>
      <c r="L137" s="54">
        <f>6918</f>
        <v>6918</v>
      </c>
      <c r="M137" s="54">
        <v>0</v>
      </c>
      <c r="N137" s="53">
        <f>K137+L137-M137</f>
        <v>6918</v>
      </c>
      <c r="O137" s="54">
        <v>0</v>
      </c>
      <c r="P137" s="54">
        <v>0</v>
      </c>
      <c r="Q137" s="54">
        <v>0</v>
      </c>
      <c r="R137" s="53">
        <f>N137-O137+P137+Q137</f>
        <v>6918</v>
      </c>
      <c r="S137" s="54">
        <f>6917.92</f>
        <v>6917.92</v>
      </c>
      <c r="T137" s="55">
        <f>S137/R137</f>
        <v>0.99998843596415155</v>
      </c>
      <c r="U137" s="54">
        <f>6917.92</f>
        <v>6917.92</v>
      </c>
      <c r="V137" s="55">
        <f>U137/R137</f>
        <v>0.99998843596415155</v>
      </c>
      <c r="W137" s="54">
        <f>6917.92</f>
        <v>6917.92</v>
      </c>
      <c r="X137" s="56">
        <f>W137/R137</f>
        <v>0.99998843596415155</v>
      </c>
      <c r="Y137" s="57"/>
    </row>
    <row r="138" spans="1:25" s="41" customFormat="1" ht="9" customHeight="1" x14ac:dyDescent="0.2">
      <c r="A138" s="59"/>
      <c r="B138" s="60"/>
      <c r="C138" s="61"/>
      <c r="D138" s="62"/>
      <c r="E138" s="63"/>
      <c r="F138" s="64"/>
      <c r="G138" s="65"/>
      <c r="H138" s="61"/>
      <c r="I138" s="66"/>
      <c r="J138" s="67"/>
      <c r="K138" s="68"/>
      <c r="L138" s="69"/>
      <c r="M138" s="69"/>
      <c r="N138" s="68"/>
      <c r="O138" s="69"/>
      <c r="P138" s="69"/>
      <c r="Q138" s="69"/>
      <c r="R138" s="68"/>
      <c r="S138" s="69"/>
      <c r="T138" s="70"/>
      <c r="U138" s="69"/>
      <c r="V138" s="70"/>
      <c r="W138" s="69"/>
      <c r="X138" s="71"/>
    </row>
    <row r="139" spans="1:25" s="43" customFormat="1" ht="39" customHeight="1" x14ac:dyDescent="0.2">
      <c r="A139" s="86" t="s">
        <v>113</v>
      </c>
      <c r="B139" s="195" t="s">
        <v>114</v>
      </c>
      <c r="C139" s="196"/>
      <c r="D139" s="73" t="s">
        <v>141</v>
      </c>
      <c r="E139" s="74" t="s">
        <v>47</v>
      </c>
      <c r="F139" s="195" t="s">
        <v>142</v>
      </c>
      <c r="G139" s="197"/>
      <c r="H139" s="197"/>
      <c r="I139" s="197"/>
      <c r="J139" s="196"/>
      <c r="K139" s="75">
        <f>SUM(K140:K142)</f>
        <v>2330965</v>
      </c>
      <c r="L139" s="75">
        <f t="shared" ref="L139:S139" si="77">SUM(L140:L142)</f>
        <v>18245</v>
      </c>
      <c r="M139" s="75">
        <f t="shared" si="77"/>
        <v>0</v>
      </c>
      <c r="N139" s="75">
        <f t="shared" si="77"/>
        <v>2349210</v>
      </c>
      <c r="O139" s="75">
        <f t="shared" si="77"/>
        <v>0</v>
      </c>
      <c r="P139" s="75">
        <f t="shared" si="77"/>
        <v>0</v>
      </c>
      <c r="Q139" s="75">
        <f t="shared" si="77"/>
        <v>0</v>
      </c>
      <c r="R139" s="75">
        <f t="shared" si="77"/>
        <v>2349210</v>
      </c>
      <c r="S139" s="75">
        <f t="shared" si="77"/>
        <v>155357.83000000002</v>
      </c>
      <c r="T139" s="76">
        <f>S139/R139</f>
        <v>6.6131946484137227E-2</v>
      </c>
      <c r="U139" s="75">
        <f>SUM(U140:U142)</f>
        <v>145223.31</v>
      </c>
      <c r="V139" s="76">
        <f>U139/R139</f>
        <v>6.181793453969632E-2</v>
      </c>
      <c r="W139" s="75">
        <f>SUM(W140:W142)</f>
        <v>145223.31</v>
      </c>
      <c r="X139" s="77">
        <f>W139/R139</f>
        <v>6.181793453969632E-2</v>
      </c>
      <c r="Y139" s="42"/>
    </row>
    <row r="140" spans="1:25" s="58" customFormat="1" ht="39" customHeight="1" x14ac:dyDescent="0.2">
      <c r="A140" s="81" t="s">
        <v>113</v>
      </c>
      <c r="B140" s="45" t="s">
        <v>114</v>
      </c>
      <c r="C140" s="46" t="s">
        <v>48</v>
      </c>
      <c r="D140" s="47" t="s">
        <v>141</v>
      </c>
      <c r="E140" s="48" t="s">
        <v>47</v>
      </c>
      <c r="F140" s="49" t="s">
        <v>143</v>
      </c>
      <c r="G140" s="50">
        <v>1</v>
      </c>
      <c r="H140" s="46" t="s">
        <v>49</v>
      </c>
      <c r="I140" s="51" t="s">
        <v>50</v>
      </c>
      <c r="J140" s="52">
        <v>4</v>
      </c>
      <c r="K140" s="53">
        <v>10000</v>
      </c>
      <c r="L140" s="54">
        <v>0</v>
      </c>
      <c r="M140" s="54">
        <v>0</v>
      </c>
      <c r="N140" s="53">
        <f>K140+L140-M140</f>
        <v>10000</v>
      </c>
      <c r="O140" s="54">
        <v>0</v>
      </c>
      <c r="P140" s="54">
        <v>0</v>
      </c>
      <c r="Q140" s="54">
        <v>0</v>
      </c>
      <c r="R140" s="53">
        <f>N140-O140+P140+Q140</f>
        <v>10000</v>
      </c>
      <c r="S140" s="54">
        <v>0</v>
      </c>
      <c r="T140" s="55">
        <f t="shared" ref="T140:T142" si="78">S140/R140</f>
        <v>0</v>
      </c>
      <c r="U140" s="54">
        <v>0</v>
      </c>
      <c r="V140" s="55">
        <f t="shared" ref="V140:V142" si="79">U140/R140</f>
        <v>0</v>
      </c>
      <c r="W140" s="54">
        <v>0</v>
      </c>
      <c r="X140" s="56">
        <f t="shared" ref="X140:X142" si="80">W140/R140</f>
        <v>0</v>
      </c>
      <c r="Y140" s="57"/>
    </row>
    <row r="141" spans="1:25" s="58" customFormat="1" ht="39" customHeight="1" x14ac:dyDescent="0.2">
      <c r="A141" s="81" t="s">
        <v>113</v>
      </c>
      <c r="B141" s="45" t="s">
        <v>114</v>
      </c>
      <c r="C141" s="46" t="s">
        <v>48</v>
      </c>
      <c r="D141" s="47" t="s">
        <v>141</v>
      </c>
      <c r="E141" s="48" t="s">
        <v>47</v>
      </c>
      <c r="F141" s="49" t="s">
        <v>143</v>
      </c>
      <c r="G141" s="50">
        <v>1</v>
      </c>
      <c r="H141" s="46" t="s">
        <v>115</v>
      </c>
      <c r="I141" s="85" t="s">
        <v>116</v>
      </c>
      <c r="J141" s="52">
        <v>3</v>
      </c>
      <c r="K141" s="53">
        <v>2320965</v>
      </c>
      <c r="L141" s="54">
        <v>0</v>
      </c>
      <c r="M141" s="54">
        <v>0</v>
      </c>
      <c r="N141" s="53">
        <f>K141+L141-M141</f>
        <v>2320965</v>
      </c>
      <c r="O141" s="54">
        <v>0</v>
      </c>
      <c r="P141" s="54">
        <v>0</v>
      </c>
      <c r="Q141" s="54">
        <v>0</v>
      </c>
      <c r="R141" s="53">
        <f>N141-O141+P141+Q141</f>
        <v>2320965</v>
      </c>
      <c r="S141" s="54">
        <f>2000+30280.11+123077.72</f>
        <v>155357.83000000002</v>
      </c>
      <c r="T141" s="55">
        <f t="shared" si="78"/>
        <v>6.6936739675092047E-2</v>
      </c>
      <c r="U141" s="54">
        <f>2000+14891.11+128332.2</f>
        <v>145223.31</v>
      </c>
      <c r="V141" s="55">
        <f t="shared" si="79"/>
        <v>6.2570228331749939E-2</v>
      </c>
      <c r="W141" s="54">
        <f>2000+14891.11+128332.2</f>
        <v>145223.31</v>
      </c>
      <c r="X141" s="56">
        <f t="shared" si="80"/>
        <v>6.2570228331749939E-2</v>
      </c>
      <c r="Y141" s="57"/>
    </row>
    <row r="142" spans="1:25" s="58" customFormat="1" ht="39" customHeight="1" x14ac:dyDescent="0.2">
      <c r="A142" s="81" t="s">
        <v>113</v>
      </c>
      <c r="B142" s="45" t="s">
        <v>114</v>
      </c>
      <c r="C142" s="46" t="s">
        <v>48</v>
      </c>
      <c r="D142" s="47" t="s">
        <v>141</v>
      </c>
      <c r="E142" s="48" t="s">
        <v>47</v>
      </c>
      <c r="F142" s="49" t="s">
        <v>143</v>
      </c>
      <c r="G142" s="50">
        <v>1</v>
      </c>
      <c r="H142" s="162" t="s">
        <v>273</v>
      </c>
      <c r="I142" s="163" t="s">
        <v>274</v>
      </c>
      <c r="J142" s="52">
        <v>3</v>
      </c>
      <c r="K142" s="53">
        <v>0</v>
      </c>
      <c r="L142" s="54">
        <f>18245</f>
        <v>18245</v>
      </c>
      <c r="M142" s="54">
        <v>0</v>
      </c>
      <c r="N142" s="53">
        <f>K142+L142-M142</f>
        <v>18245</v>
      </c>
      <c r="O142" s="54">
        <v>0</v>
      </c>
      <c r="P142" s="54">
        <v>0</v>
      </c>
      <c r="Q142" s="54">
        <v>0</v>
      </c>
      <c r="R142" s="53">
        <f>N142-O142+P142+Q142</f>
        <v>18245</v>
      </c>
      <c r="S142" s="54">
        <v>0</v>
      </c>
      <c r="T142" s="55">
        <f t="shared" si="78"/>
        <v>0</v>
      </c>
      <c r="U142" s="54">
        <v>0</v>
      </c>
      <c r="V142" s="55">
        <f t="shared" si="79"/>
        <v>0</v>
      </c>
      <c r="W142" s="54">
        <v>0</v>
      </c>
      <c r="X142" s="56">
        <f t="shared" si="80"/>
        <v>0</v>
      </c>
      <c r="Y142" s="57"/>
    </row>
    <row r="143" spans="1:25" s="41" customFormat="1" ht="9" customHeight="1" x14ac:dyDescent="0.2">
      <c r="A143" s="87"/>
      <c r="B143" s="60"/>
      <c r="C143" s="61"/>
      <c r="D143" s="62"/>
      <c r="E143" s="63"/>
      <c r="F143" s="64"/>
      <c r="G143" s="65"/>
      <c r="H143" s="61"/>
      <c r="I143" s="66"/>
      <c r="J143" s="67"/>
      <c r="K143" s="69"/>
      <c r="L143" s="69"/>
      <c r="M143" s="69"/>
      <c r="N143" s="69"/>
      <c r="O143" s="69"/>
      <c r="P143" s="69"/>
      <c r="Q143" s="69"/>
      <c r="R143" s="69"/>
      <c r="S143" s="69"/>
      <c r="T143" s="70"/>
      <c r="U143" s="69"/>
      <c r="V143" s="70"/>
      <c r="W143" s="69"/>
      <c r="X143" s="71"/>
    </row>
    <row r="144" spans="1:25" s="43" customFormat="1" ht="39" customHeight="1" x14ac:dyDescent="0.2">
      <c r="A144" s="86" t="s">
        <v>113</v>
      </c>
      <c r="B144" s="195" t="s">
        <v>114</v>
      </c>
      <c r="C144" s="196"/>
      <c r="D144" s="73" t="s">
        <v>144</v>
      </c>
      <c r="E144" s="74" t="s">
        <v>47</v>
      </c>
      <c r="F144" s="195" t="s">
        <v>52</v>
      </c>
      <c r="G144" s="197"/>
      <c r="H144" s="197"/>
      <c r="I144" s="197"/>
      <c r="J144" s="196"/>
      <c r="K144" s="75">
        <f>SUM(K145:K148)</f>
        <v>8388359</v>
      </c>
      <c r="L144" s="75">
        <f t="shared" ref="L144:S144" si="81">SUM(L145:L148)</f>
        <v>194600</v>
      </c>
      <c r="M144" s="75">
        <f t="shared" si="81"/>
        <v>0</v>
      </c>
      <c r="N144" s="75">
        <f t="shared" si="81"/>
        <v>8582959</v>
      </c>
      <c r="O144" s="75">
        <f t="shared" si="81"/>
        <v>0</v>
      </c>
      <c r="P144" s="75">
        <f t="shared" si="81"/>
        <v>0</v>
      </c>
      <c r="Q144" s="75">
        <f t="shared" si="81"/>
        <v>0</v>
      </c>
      <c r="R144" s="75">
        <f t="shared" si="81"/>
        <v>8582959</v>
      </c>
      <c r="S144" s="75">
        <f t="shared" si="81"/>
        <v>612350.87</v>
      </c>
      <c r="T144" s="76">
        <f>S144/R144</f>
        <v>7.1344960403515845E-2</v>
      </c>
      <c r="U144" s="75">
        <f>SUM(U145:U148)</f>
        <v>578430.12</v>
      </c>
      <c r="V144" s="76">
        <f>U144/R144</f>
        <v>6.7392856006885271E-2</v>
      </c>
      <c r="W144" s="75">
        <f>SUM(W145:W148)</f>
        <v>490853.28</v>
      </c>
      <c r="X144" s="77">
        <f>W144/R144</f>
        <v>5.7189284021978905E-2</v>
      </c>
      <c r="Y144" s="42"/>
    </row>
    <row r="145" spans="1:25" s="58" customFormat="1" ht="39" customHeight="1" x14ac:dyDescent="0.2">
      <c r="A145" s="81" t="s">
        <v>113</v>
      </c>
      <c r="B145" s="45" t="s">
        <v>114</v>
      </c>
      <c r="C145" s="46" t="s">
        <v>48</v>
      </c>
      <c r="D145" s="47" t="s">
        <v>144</v>
      </c>
      <c r="E145" s="48" t="s">
        <v>47</v>
      </c>
      <c r="F145" s="49" t="s">
        <v>145</v>
      </c>
      <c r="G145" s="50">
        <v>1</v>
      </c>
      <c r="H145" s="46" t="s">
        <v>49</v>
      </c>
      <c r="I145" s="51" t="s">
        <v>50</v>
      </c>
      <c r="J145" s="52">
        <v>4</v>
      </c>
      <c r="K145" s="53">
        <v>560055</v>
      </c>
      <c r="L145" s="54">
        <v>0</v>
      </c>
      <c r="M145" s="54">
        <v>0</v>
      </c>
      <c r="N145" s="53">
        <f>K145+L145-M145</f>
        <v>560055</v>
      </c>
      <c r="O145" s="54">
        <v>0</v>
      </c>
      <c r="P145" s="54">
        <v>0</v>
      </c>
      <c r="Q145" s="54">
        <v>0</v>
      </c>
      <c r="R145" s="53">
        <f>N145-O145+P145+Q145</f>
        <v>560055</v>
      </c>
      <c r="S145" s="54">
        <v>0</v>
      </c>
      <c r="T145" s="55">
        <f>S145/R145</f>
        <v>0</v>
      </c>
      <c r="U145" s="54">
        <v>0</v>
      </c>
      <c r="V145" s="55">
        <f>U145/R145</f>
        <v>0</v>
      </c>
      <c r="W145" s="54">
        <v>0</v>
      </c>
      <c r="X145" s="56">
        <f>W145/R145</f>
        <v>0</v>
      </c>
      <c r="Y145" s="57"/>
    </row>
    <row r="146" spans="1:25" s="58" customFormat="1" ht="39" customHeight="1" x14ac:dyDescent="0.2">
      <c r="A146" s="81" t="s">
        <v>113</v>
      </c>
      <c r="B146" s="45" t="s">
        <v>114</v>
      </c>
      <c r="C146" s="46" t="s">
        <v>48</v>
      </c>
      <c r="D146" s="47" t="s">
        <v>146</v>
      </c>
      <c r="E146" s="48" t="s">
        <v>147</v>
      </c>
      <c r="F146" s="49" t="s">
        <v>145</v>
      </c>
      <c r="G146" s="50">
        <v>1</v>
      </c>
      <c r="H146" s="46" t="s">
        <v>115</v>
      </c>
      <c r="I146" s="85" t="s">
        <v>116</v>
      </c>
      <c r="J146" s="52">
        <v>3</v>
      </c>
      <c r="K146" s="53">
        <v>7828304</v>
      </c>
      <c r="L146" s="54">
        <v>0</v>
      </c>
      <c r="M146" s="54">
        <v>0</v>
      </c>
      <c r="N146" s="53">
        <f>K146+L146-M146</f>
        <v>7828304</v>
      </c>
      <c r="O146" s="54">
        <v>0</v>
      </c>
      <c r="P146" s="54">
        <v>0</v>
      </c>
      <c r="Q146" s="54">
        <v>0</v>
      </c>
      <c r="R146" s="53">
        <f>N146-O146+P146+Q146</f>
        <v>7828304</v>
      </c>
      <c r="S146" s="54">
        <f>109600.48+232138.16+176037.63</f>
        <v>517776.27</v>
      </c>
      <c r="T146" s="55">
        <f>S146/R146</f>
        <v>6.6141563996492736E-2</v>
      </c>
      <c r="U146" s="54">
        <f>87671.94+145843.66+250339.92</f>
        <v>483855.52</v>
      </c>
      <c r="V146" s="55">
        <f>U146/R146</f>
        <v>6.1808473457341466E-2</v>
      </c>
      <c r="W146" s="54">
        <f>87671.94+139115.88+169490.86</f>
        <v>396278.68</v>
      </c>
      <c r="X146" s="56">
        <f>W146/R146</f>
        <v>5.0621268668155965E-2</v>
      </c>
      <c r="Y146" s="57"/>
    </row>
    <row r="147" spans="1:25" s="58" customFormat="1" ht="39" customHeight="1" x14ac:dyDescent="0.2">
      <c r="A147" s="81" t="s">
        <v>113</v>
      </c>
      <c r="B147" s="45" t="s">
        <v>114</v>
      </c>
      <c r="C147" s="46" t="s">
        <v>48</v>
      </c>
      <c r="D147" s="47" t="s">
        <v>146</v>
      </c>
      <c r="E147" s="48" t="s">
        <v>147</v>
      </c>
      <c r="F147" s="49" t="s">
        <v>145</v>
      </c>
      <c r="G147" s="50">
        <v>1</v>
      </c>
      <c r="H147" s="162" t="s">
        <v>273</v>
      </c>
      <c r="I147" s="163" t="s">
        <v>274</v>
      </c>
      <c r="J147" s="52">
        <v>3</v>
      </c>
      <c r="K147" s="53">
        <v>0</v>
      </c>
      <c r="L147" s="54">
        <f>171400</f>
        <v>171400</v>
      </c>
      <c r="M147" s="54">
        <v>0</v>
      </c>
      <c r="N147" s="53">
        <f t="shared" ref="N147:N148" si="82">K147+L147-M147</f>
        <v>171400</v>
      </c>
      <c r="O147" s="54">
        <v>0</v>
      </c>
      <c r="P147" s="54">
        <v>0</v>
      </c>
      <c r="Q147" s="54">
        <v>0</v>
      </c>
      <c r="R147" s="53">
        <f t="shared" ref="R147:R148" si="83">N147-O147+P147+Q147</f>
        <v>171400</v>
      </c>
      <c r="S147" s="54">
        <f>82974.6</f>
        <v>82974.600000000006</v>
      </c>
      <c r="T147" s="55">
        <f t="shared" ref="T147:T148" si="84">S147/R147</f>
        <v>0.48409918319719958</v>
      </c>
      <c r="U147" s="54">
        <f>82974.6</f>
        <v>82974.600000000006</v>
      </c>
      <c r="V147" s="55">
        <f t="shared" ref="V147:V148" si="85">U147/R147</f>
        <v>0.48409918319719958</v>
      </c>
      <c r="W147" s="54">
        <f>82974.6</f>
        <v>82974.600000000006</v>
      </c>
      <c r="X147" s="56">
        <f t="shared" ref="X147:X148" si="86">W147/R147</f>
        <v>0.48409918319719958</v>
      </c>
      <c r="Y147" s="57"/>
    </row>
    <row r="148" spans="1:25" s="58" customFormat="1" ht="39" customHeight="1" x14ac:dyDescent="0.2">
      <c r="A148" s="81" t="s">
        <v>113</v>
      </c>
      <c r="B148" s="45" t="s">
        <v>114</v>
      </c>
      <c r="C148" s="46" t="s">
        <v>48</v>
      </c>
      <c r="D148" s="47" t="s">
        <v>146</v>
      </c>
      <c r="E148" s="48" t="s">
        <v>147</v>
      </c>
      <c r="F148" s="49" t="s">
        <v>145</v>
      </c>
      <c r="G148" s="50">
        <v>1</v>
      </c>
      <c r="H148" s="162" t="s">
        <v>273</v>
      </c>
      <c r="I148" s="163" t="s">
        <v>274</v>
      </c>
      <c r="J148" s="52">
        <v>4</v>
      </c>
      <c r="K148" s="53">
        <v>0</v>
      </c>
      <c r="L148" s="54">
        <f>23200</f>
        <v>23200</v>
      </c>
      <c r="M148" s="54">
        <v>0</v>
      </c>
      <c r="N148" s="53">
        <f t="shared" si="82"/>
        <v>23200</v>
      </c>
      <c r="O148" s="54">
        <v>0</v>
      </c>
      <c r="P148" s="54">
        <v>0</v>
      </c>
      <c r="Q148" s="54">
        <v>0</v>
      </c>
      <c r="R148" s="53">
        <f t="shared" si="83"/>
        <v>23200</v>
      </c>
      <c r="S148" s="54">
        <f>11600</f>
        <v>11600</v>
      </c>
      <c r="T148" s="55">
        <f t="shared" si="84"/>
        <v>0.5</v>
      </c>
      <c r="U148" s="54">
        <f>11600</f>
        <v>11600</v>
      </c>
      <c r="V148" s="55">
        <f t="shared" si="85"/>
        <v>0.5</v>
      </c>
      <c r="W148" s="54">
        <f>11600</f>
        <v>11600</v>
      </c>
      <c r="X148" s="56">
        <f t="shared" si="86"/>
        <v>0.5</v>
      </c>
      <c r="Y148" s="57"/>
    </row>
    <row r="149" spans="1:25" s="41" customFormat="1" ht="9" customHeight="1" x14ac:dyDescent="0.2">
      <c r="A149" s="59"/>
      <c r="B149" s="60"/>
      <c r="C149" s="61"/>
      <c r="D149" s="62"/>
      <c r="E149" s="63"/>
      <c r="F149" s="64"/>
      <c r="G149" s="65"/>
      <c r="H149" s="61"/>
      <c r="I149" s="66"/>
      <c r="J149" s="67"/>
      <c r="K149" s="68"/>
      <c r="L149" s="69"/>
      <c r="M149" s="69"/>
      <c r="N149" s="68"/>
      <c r="O149" s="69"/>
      <c r="P149" s="69"/>
      <c r="Q149" s="69"/>
      <c r="R149" s="68"/>
      <c r="S149" s="69"/>
      <c r="T149" s="70"/>
      <c r="U149" s="69"/>
      <c r="V149" s="70"/>
      <c r="W149" s="69"/>
      <c r="X149" s="71"/>
    </row>
    <row r="150" spans="1:25" s="43" customFormat="1" ht="39" customHeight="1" x14ac:dyDescent="0.2">
      <c r="A150" s="86" t="s">
        <v>113</v>
      </c>
      <c r="B150" s="195" t="s">
        <v>114</v>
      </c>
      <c r="C150" s="196"/>
      <c r="D150" s="73" t="s">
        <v>148</v>
      </c>
      <c r="E150" s="74" t="s">
        <v>47</v>
      </c>
      <c r="F150" s="195" t="s">
        <v>149</v>
      </c>
      <c r="G150" s="197"/>
      <c r="H150" s="197"/>
      <c r="I150" s="197"/>
      <c r="J150" s="196"/>
      <c r="K150" s="75">
        <f>SUM(K151:K152)</f>
        <v>615373</v>
      </c>
      <c r="L150" s="75">
        <f t="shared" ref="L150:S150" si="87">SUM(L151:L152)</f>
        <v>0</v>
      </c>
      <c r="M150" s="75">
        <f t="shared" si="87"/>
        <v>0</v>
      </c>
      <c r="N150" s="75">
        <f t="shared" si="87"/>
        <v>615373</v>
      </c>
      <c r="O150" s="75">
        <f t="shared" si="87"/>
        <v>0</v>
      </c>
      <c r="P150" s="75">
        <f t="shared" si="87"/>
        <v>0</v>
      </c>
      <c r="Q150" s="75">
        <f t="shared" si="87"/>
        <v>0</v>
      </c>
      <c r="R150" s="75">
        <f t="shared" si="87"/>
        <v>615373</v>
      </c>
      <c r="S150" s="75">
        <f t="shared" si="87"/>
        <v>4603.3999999999996</v>
      </c>
      <c r="T150" s="76">
        <f>S150/R150</f>
        <v>7.4806661975744789E-3</v>
      </c>
      <c r="U150" s="75">
        <f>SUM(U151:U152)</f>
        <v>0</v>
      </c>
      <c r="V150" s="76">
        <f>U150/R150</f>
        <v>0</v>
      </c>
      <c r="W150" s="75">
        <f>SUM(W151:W152)</f>
        <v>0</v>
      </c>
      <c r="X150" s="77">
        <f>W150/R150</f>
        <v>0</v>
      </c>
      <c r="Y150" s="42"/>
    </row>
    <row r="151" spans="1:25" s="58" customFormat="1" ht="39" customHeight="1" x14ac:dyDescent="0.2">
      <c r="A151" s="81" t="s">
        <v>113</v>
      </c>
      <c r="B151" s="45" t="s">
        <v>114</v>
      </c>
      <c r="C151" s="46" t="s">
        <v>48</v>
      </c>
      <c r="D151" s="47" t="s">
        <v>148</v>
      </c>
      <c r="E151" s="48" t="s">
        <v>47</v>
      </c>
      <c r="F151" s="49" t="s">
        <v>150</v>
      </c>
      <c r="G151" s="50">
        <v>1</v>
      </c>
      <c r="H151" s="46" t="s">
        <v>49</v>
      </c>
      <c r="I151" s="51" t="s">
        <v>50</v>
      </c>
      <c r="J151" s="52">
        <v>4</v>
      </c>
      <c r="K151" s="53">
        <v>250373</v>
      </c>
      <c r="L151" s="54">
        <v>0</v>
      </c>
      <c r="M151" s="54">
        <v>0</v>
      </c>
      <c r="N151" s="53">
        <f>K151+L151-M151</f>
        <v>250373</v>
      </c>
      <c r="O151" s="54">
        <v>0</v>
      </c>
      <c r="P151" s="54">
        <v>0</v>
      </c>
      <c r="Q151" s="54">
        <v>0</v>
      </c>
      <c r="R151" s="53">
        <f>N151-O151+P151+Q151</f>
        <v>250373</v>
      </c>
      <c r="S151" s="54">
        <v>0</v>
      </c>
      <c r="T151" s="55">
        <f>S151/R151</f>
        <v>0</v>
      </c>
      <c r="U151" s="54">
        <v>0</v>
      </c>
      <c r="V151" s="55">
        <f>U151/R151</f>
        <v>0</v>
      </c>
      <c r="W151" s="54">
        <v>0</v>
      </c>
      <c r="X151" s="56">
        <f>W151/R151</f>
        <v>0</v>
      </c>
      <c r="Y151" s="57"/>
    </row>
    <row r="152" spans="1:25" s="58" customFormat="1" ht="39" customHeight="1" x14ac:dyDescent="0.2">
      <c r="A152" s="81" t="s">
        <v>113</v>
      </c>
      <c r="B152" s="45" t="s">
        <v>114</v>
      </c>
      <c r="C152" s="46" t="s">
        <v>48</v>
      </c>
      <c r="D152" s="47" t="s">
        <v>148</v>
      </c>
      <c r="E152" s="48" t="s">
        <v>47</v>
      </c>
      <c r="F152" s="49" t="s">
        <v>151</v>
      </c>
      <c r="G152" s="50">
        <v>1</v>
      </c>
      <c r="H152" s="46" t="s">
        <v>115</v>
      </c>
      <c r="I152" s="85" t="s">
        <v>116</v>
      </c>
      <c r="J152" s="52">
        <v>3</v>
      </c>
      <c r="K152" s="53">
        <v>365000</v>
      </c>
      <c r="L152" s="54">
        <v>0</v>
      </c>
      <c r="M152" s="54">
        <v>0</v>
      </c>
      <c r="N152" s="53">
        <f>K152+L152-M152</f>
        <v>365000</v>
      </c>
      <c r="O152" s="54">
        <v>0</v>
      </c>
      <c r="P152" s="54">
        <v>0</v>
      </c>
      <c r="Q152" s="54">
        <v>0</v>
      </c>
      <c r="R152" s="53">
        <f>N152-O152+P152+Q152</f>
        <v>365000</v>
      </c>
      <c r="S152" s="54">
        <f>4603.4</f>
        <v>4603.3999999999996</v>
      </c>
      <c r="T152" s="55">
        <f>S152/R152</f>
        <v>1.2612054794520548E-2</v>
      </c>
      <c r="U152" s="54">
        <v>0</v>
      </c>
      <c r="V152" s="55">
        <f>U152/R152</f>
        <v>0</v>
      </c>
      <c r="W152" s="54">
        <v>0</v>
      </c>
      <c r="X152" s="56">
        <f>W152/R152</f>
        <v>0</v>
      </c>
      <c r="Y152" s="57"/>
    </row>
    <row r="153" spans="1:25" s="41" customFormat="1" ht="9" customHeight="1" x14ac:dyDescent="0.2">
      <c r="A153" s="59"/>
      <c r="B153" s="60"/>
      <c r="C153" s="61"/>
      <c r="D153" s="62"/>
      <c r="E153" s="63"/>
      <c r="F153" s="64"/>
      <c r="G153" s="65"/>
      <c r="H153" s="61"/>
      <c r="I153" s="66"/>
      <c r="J153" s="67"/>
      <c r="K153" s="68"/>
      <c r="L153" s="69"/>
      <c r="M153" s="69"/>
      <c r="N153" s="68"/>
      <c r="O153" s="69"/>
      <c r="P153" s="69"/>
      <c r="Q153" s="69"/>
      <c r="R153" s="68"/>
      <c r="S153" s="69"/>
      <c r="T153" s="70"/>
      <c r="U153" s="69"/>
      <c r="V153" s="70"/>
      <c r="W153" s="69"/>
      <c r="X153" s="71"/>
    </row>
    <row r="154" spans="1:25" s="43" customFormat="1" ht="39" customHeight="1" x14ac:dyDescent="0.2">
      <c r="A154" s="86" t="s">
        <v>113</v>
      </c>
      <c r="B154" s="195" t="s">
        <v>114</v>
      </c>
      <c r="C154" s="196"/>
      <c r="D154" s="73" t="s">
        <v>152</v>
      </c>
      <c r="E154" s="74" t="s">
        <v>47</v>
      </c>
      <c r="F154" s="195" t="s">
        <v>55</v>
      </c>
      <c r="G154" s="197"/>
      <c r="H154" s="197"/>
      <c r="I154" s="197"/>
      <c r="J154" s="196"/>
      <c r="K154" s="75">
        <f>SUM(K155:K156)</f>
        <v>151848</v>
      </c>
      <c r="L154" s="75">
        <f t="shared" ref="L154:S154" si="88">SUM(L155:L156)</f>
        <v>0</v>
      </c>
      <c r="M154" s="75">
        <f t="shared" si="88"/>
        <v>0</v>
      </c>
      <c r="N154" s="75">
        <f t="shared" si="88"/>
        <v>151848</v>
      </c>
      <c r="O154" s="75">
        <f t="shared" si="88"/>
        <v>0</v>
      </c>
      <c r="P154" s="75">
        <f t="shared" si="88"/>
        <v>0</v>
      </c>
      <c r="Q154" s="75">
        <f t="shared" si="88"/>
        <v>0</v>
      </c>
      <c r="R154" s="75">
        <f t="shared" si="88"/>
        <v>151848</v>
      </c>
      <c r="S154" s="75">
        <f t="shared" si="88"/>
        <v>2169.1</v>
      </c>
      <c r="T154" s="76">
        <f>S154/R154</f>
        <v>1.4284679416258363E-2</v>
      </c>
      <c r="U154" s="75">
        <f>SUM(U155:U156)</f>
        <v>0</v>
      </c>
      <c r="V154" s="76">
        <f>U154/R154</f>
        <v>0</v>
      </c>
      <c r="W154" s="75">
        <f>SUM(W155:W156)</f>
        <v>0</v>
      </c>
      <c r="X154" s="77">
        <f>W154/R154</f>
        <v>0</v>
      </c>
      <c r="Y154" s="42"/>
    </row>
    <row r="155" spans="1:25" s="58" customFormat="1" ht="39" customHeight="1" x14ac:dyDescent="0.2">
      <c r="A155" s="81" t="s">
        <v>113</v>
      </c>
      <c r="B155" s="45" t="s">
        <v>114</v>
      </c>
      <c r="C155" s="46" t="s">
        <v>48</v>
      </c>
      <c r="D155" s="47" t="s">
        <v>152</v>
      </c>
      <c r="E155" s="48" t="s">
        <v>47</v>
      </c>
      <c r="F155" s="49" t="s">
        <v>153</v>
      </c>
      <c r="G155" s="50">
        <v>1</v>
      </c>
      <c r="H155" s="46" t="s">
        <v>49</v>
      </c>
      <c r="I155" s="51" t="s">
        <v>50</v>
      </c>
      <c r="J155" s="52">
        <v>4</v>
      </c>
      <c r="K155" s="53">
        <v>11000</v>
      </c>
      <c r="L155" s="54">
        <v>0</v>
      </c>
      <c r="M155" s="54">
        <v>0</v>
      </c>
      <c r="N155" s="53">
        <f>K155+L155-M155</f>
        <v>11000</v>
      </c>
      <c r="O155" s="54">
        <v>0</v>
      </c>
      <c r="P155" s="54">
        <v>0</v>
      </c>
      <c r="Q155" s="54">
        <v>0</v>
      </c>
      <c r="R155" s="53">
        <f>N155-O155+P155+Q155</f>
        <v>11000</v>
      </c>
      <c r="S155" s="54">
        <v>0</v>
      </c>
      <c r="T155" s="55">
        <f>S155/R155</f>
        <v>0</v>
      </c>
      <c r="U155" s="54">
        <v>0</v>
      </c>
      <c r="V155" s="55">
        <f>U155/R155</f>
        <v>0</v>
      </c>
      <c r="W155" s="54">
        <v>0</v>
      </c>
      <c r="X155" s="56">
        <f>W155/R155</f>
        <v>0</v>
      </c>
      <c r="Y155" s="57"/>
    </row>
    <row r="156" spans="1:25" s="58" customFormat="1" ht="39" customHeight="1" x14ac:dyDescent="0.2">
      <c r="A156" s="81" t="s">
        <v>113</v>
      </c>
      <c r="B156" s="45" t="s">
        <v>114</v>
      </c>
      <c r="C156" s="46" t="s">
        <v>48</v>
      </c>
      <c r="D156" s="47" t="s">
        <v>152</v>
      </c>
      <c r="E156" s="48" t="s">
        <v>47</v>
      </c>
      <c r="F156" s="49" t="s">
        <v>153</v>
      </c>
      <c r="G156" s="50">
        <v>1</v>
      </c>
      <c r="H156" s="46" t="s">
        <v>115</v>
      </c>
      <c r="I156" s="85" t="s">
        <v>116</v>
      </c>
      <c r="J156" s="52">
        <v>3</v>
      </c>
      <c r="K156" s="53">
        <v>140848</v>
      </c>
      <c r="L156" s="54">
        <v>0</v>
      </c>
      <c r="M156" s="54">
        <v>0</v>
      </c>
      <c r="N156" s="53">
        <f>K156+L156-M156</f>
        <v>140848</v>
      </c>
      <c r="O156" s="54">
        <v>0</v>
      </c>
      <c r="P156" s="54">
        <v>0</v>
      </c>
      <c r="Q156" s="54">
        <v>0</v>
      </c>
      <c r="R156" s="53">
        <f>N156-O156+P156+Q156</f>
        <v>140848</v>
      </c>
      <c r="S156" s="54">
        <f>200+1969.1</f>
        <v>2169.1</v>
      </c>
      <c r="T156" s="55">
        <f>S156/R156</f>
        <v>1.5400289673974782E-2</v>
      </c>
      <c r="U156" s="54">
        <f>200-200</f>
        <v>0</v>
      </c>
      <c r="V156" s="55">
        <f>U156/R156</f>
        <v>0</v>
      </c>
      <c r="W156" s="54">
        <f>200-200</f>
        <v>0</v>
      </c>
      <c r="X156" s="56">
        <f>W156/R156</f>
        <v>0</v>
      </c>
      <c r="Y156" s="57"/>
    </row>
    <row r="157" spans="1:25" s="41" customFormat="1" ht="9" customHeight="1" x14ac:dyDescent="0.2">
      <c r="A157" s="87"/>
      <c r="B157" s="60"/>
      <c r="C157" s="61"/>
      <c r="D157" s="62"/>
      <c r="E157" s="63"/>
      <c r="F157" s="64"/>
      <c r="G157" s="65"/>
      <c r="H157" s="61"/>
      <c r="I157" s="66"/>
      <c r="J157" s="67"/>
      <c r="K157" s="69"/>
      <c r="L157" s="69"/>
      <c r="M157" s="69"/>
      <c r="N157" s="69"/>
      <c r="O157" s="69"/>
      <c r="P157" s="69"/>
      <c r="Q157" s="69"/>
      <c r="R157" s="69"/>
      <c r="S157" s="69"/>
      <c r="T157" s="70"/>
      <c r="U157" s="69"/>
      <c r="V157" s="70"/>
      <c r="W157" s="69"/>
      <c r="X157" s="71"/>
    </row>
    <row r="158" spans="1:25" s="43" customFormat="1" ht="39" customHeight="1" x14ac:dyDescent="0.2">
      <c r="A158" s="86" t="s">
        <v>113</v>
      </c>
      <c r="B158" s="195" t="s">
        <v>114</v>
      </c>
      <c r="C158" s="196"/>
      <c r="D158" s="73" t="s">
        <v>154</v>
      </c>
      <c r="E158" s="74" t="s">
        <v>47</v>
      </c>
      <c r="F158" s="195" t="s">
        <v>155</v>
      </c>
      <c r="G158" s="197"/>
      <c r="H158" s="197"/>
      <c r="I158" s="197"/>
      <c r="J158" s="196"/>
      <c r="K158" s="75">
        <f>SUM(K159:K162)</f>
        <v>1237120</v>
      </c>
      <c r="L158" s="75">
        <f t="shared" ref="L158:S158" si="89">SUM(L159:L162)</f>
        <v>493598</v>
      </c>
      <c r="M158" s="75">
        <f t="shared" si="89"/>
        <v>0</v>
      </c>
      <c r="N158" s="75">
        <f t="shared" si="89"/>
        <v>1730718</v>
      </c>
      <c r="O158" s="75">
        <f t="shared" si="89"/>
        <v>0</v>
      </c>
      <c r="P158" s="75">
        <f t="shared" si="89"/>
        <v>0</v>
      </c>
      <c r="Q158" s="75">
        <f t="shared" si="89"/>
        <v>0</v>
      </c>
      <c r="R158" s="75">
        <f t="shared" si="89"/>
        <v>1730718</v>
      </c>
      <c r="S158" s="75">
        <f t="shared" si="89"/>
        <v>511274.67</v>
      </c>
      <c r="T158" s="76">
        <f t="shared" ref="T158:T162" si="90">S158/R158</f>
        <v>0.29541188685851766</v>
      </c>
      <c r="U158" s="75">
        <f>SUM(U159:U162)</f>
        <v>55702.41</v>
      </c>
      <c r="V158" s="76">
        <f>U158/R158</f>
        <v>3.218456732985963E-2</v>
      </c>
      <c r="W158" s="75">
        <f>SUM(W159:W162)</f>
        <v>51154.41</v>
      </c>
      <c r="X158" s="77">
        <f>W158/R158</f>
        <v>2.9556756213317249E-2</v>
      </c>
      <c r="Y158" s="42"/>
    </row>
    <row r="159" spans="1:25" s="58" customFormat="1" ht="39" customHeight="1" x14ac:dyDescent="0.2">
      <c r="A159" s="81" t="s">
        <v>113</v>
      </c>
      <c r="B159" s="45" t="s">
        <v>114</v>
      </c>
      <c r="C159" s="46" t="s">
        <v>48</v>
      </c>
      <c r="D159" s="47" t="s">
        <v>154</v>
      </c>
      <c r="E159" s="48" t="s">
        <v>47</v>
      </c>
      <c r="F159" s="49" t="s">
        <v>155</v>
      </c>
      <c r="G159" s="50">
        <v>1</v>
      </c>
      <c r="H159" s="46" t="s">
        <v>49</v>
      </c>
      <c r="I159" s="51" t="s">
        <v>50</v>
      </c>
      <c r="J159" s="52">
        <v>4</v>
      </c>
      <c r="K159" s="53">
        <v>637120</v>
      </c>
      <c r="L159" s="54">
        <v>0</v>
      </c>
      <c r="M159" s="54">
        <v>0</v>
      </c>
      <c r="N159" s="53">
        <f t="shared" ref="N159:N175" si="91">K159+L159-M159</f>
        <v>637120</v>
      </c>
      <c r="O159" s="54">
        <v>0</v>
      </c>
      <c r="P159" s="54">
        <v>0</v>
      </c>
      <c r="Q159" s="54">
        <v>0</v>
      </c>
      <c r="R159" s="53">
        <f t="shared" ref="R159:R175" si="92">N159-O159+P159+Q159</f>
        <v>637120</v>
      </c>
      <c r="S159" s="54">
        <f>230970.48+24057.6+2410.09</f>
        <v>257438.17</v>
      </c>
      <c r="T159" s="55">
        <f t="shared" si="90"/>
        <v>0.40406543508287296</v>
      </c>
      <c r="U159" s="54">
        <f>24057.6</f>
        <v>24057.599999999999</v>
      </c>
      <c r="V159" s="55">
        <f>U159/R159</f>
        <v>3.7759919638372677E-2</v>
      </c>
      <c r="W159" s="54">
        <f>19509.6</f>
        <v>19509.599999999999</v>
      </c>
      <c r="X159" s="56">
        <f>W159/R159</f>
        <v>3.0621546961325966E-2</v>
      </c>
      <c r="Y159" s="57"/>
    </row>
    <row r="160" spans="1:25" s="58" customFormat="1" ht="39" customHeight="1" x14ac:dyDescent="0.2">
      <c r="A160" s="81" t="s">
        <v>113</v>
      </c>
      <c r="B160" s="45" t="s">
        <v>114</v>
      </c>
      <c r="C160" s="46" t="s">
        <v>48</v>
      </c>
      <c r="D160" s="47" t="s">
        <v>154</v>
      </c>
      <c r="E160" s="48" t="s">
        <v>47</v>
      </c>
      <c r="F160" s="49" t="s">
        <v>155</v>
      </c>
      <c r="G160" s="50">
        <v>1</v>
      </c>
      <c r="H160" s="46" t="s">
        <v>115</v>
      </c>
      <c r="I160" s="85" t="s">
        <v>116</v>
      </c>
      <c r="J160" s="52">
        <v>4</v>
      </c>
      <c r="K160" s="53">
        <v>200000</v>
      </c>
      <c r="L160" s="54">
        <v>0</v>
      </c>
      <c r="M160" s="54">
        <v>0</v>
      </c>
      <c r="N160" s="53">
        <f t="shared" si="91"/>
        <v>200000</v>
      </c>
      <c r="O160" s="54">
        <v>0</v>
      </c>
      <c r="P160" s="54">
        <v>0</v>
      </c>
      <c r="Q160" s="54">
        <v>0</v>
      </c>
      <c r="R160" s="53">
        <f t="shared" si="92"/>
        <v>200000</v>
      </c>
      <c r="S160" s="54">
        <f>167902.8</f>
        <v>167902.8</v>
      </c>
      <c r="T160" s="55">
        <f t="shared" si="90"/>
        <v>0.83951399999999998</v>
      </c>
      <c r="U160" s="54">
        <v>0</v>
      </c>
      <c r="V160" s="55">
        <f>U160/R160</f>
        <v>0</v>
      </c>
      <c r="W160" s="54">
        <v>0</v>
      </c>
      <c r="X160" s="56">
        <f>W160/R160</f>
        <v>0</v>
      </c>
      <c r="Y160" s="57"/>
    </row>
    <row r="161" spans="1:25" s="58" customFormat="1" ht="39" customHeight="1" x14ac:dyDescent="0.2">
      <c r="A161" s="81" t="s">
        <v>113</v>
      </c>
      <c r="B161" s="45" t="s">
        <v>114</v>
      </c>
      <c r="C161" s="46" t="s">
        <v>48</v>
      </c>
      <c r="D161" s="47" t="s">
        <v>154</v>
      </c>
      <c r="E161" s="48" t="s">
        <v>47</v>
      </c>
      <c r="F161" s="49" t="s">
        <v>155</v>
      </c>
      <c r="G161" s="50">
        <v>1</v>
      </c>
      <c r="H161" s="90" t="s">
        <v>156</v>
      </c>
      <c r="I161" s="91" t="s">
        <v>157</v>
      </c>
      <c r="J161" s="52">
        <v>4</v>
      </c>
      <c r="K161" s="53">
        <v>400000</v>
      </c>
      <c r="L161" s="54">
        <v>0</v>
      </c>
      <c r="M161" s="54">
        <v>0</v>
      </c>
      <c r="N161" s="53">
        <f t="shared" si="91"/>
        <v>400000</v>
      </c>
      <c r="O161" s="54">
        <v>0</v>
      </c>
      <c r="P161" s="54">
        <v>0</v>
      </c>
      <c r="Q161" s="54">
        <v>0</v>
      </c>
      <c r="R161" s="53">
        <f t="shared" si="92"/>
        <v>400000</v>
      </c>
      <c r="S161" s="54">
        <v>0</v>
      </c>
      <c r="T161" s="55">
        <f t="shared" si="90"/>
        <v>0</v>
      </c>
      <c r="U161" s="54">
        <v>0</v>
      </c>
      <c r="V161" s="55">
        <f>U161/R161</f>
        <v>0</v>
      </c>
      <c r="W161" s="54">
        <v>0</v>
      </c>
      <c r="X161" s="56">
        <f>W161/R161</f>
        <v>0</v>
      </c>
      <c r="Y161" s="57"/>
    </row>
    <row r="162" spans="1:25" s="58" customFormat="1" ht="39" customHeight="1" x14ac:dyDescent="0.2">
      <c r="A162" s="81" t="s">
        <v>113</v>
      </c>
      <c r="B162" s="45" t="s">
        <v>114</v>
      </c>
      <c r="C162" s="46" t="s">
        <v>48</v>
      </c>
      <c r="D162" s="47" t="s">
        <v>154</v>
      </c>
      <c r="E162" s="48" t="s">
        <v>47</v>
      </c>
      <c r="F162" s="49" t="s">
        <v>155</v>
      </c>
      <c r="G162" s="50">
        <v>1</v>
      </c>
      <c r="H162" s="162" t="s">
        <v>273</v>
      </c>
      <c r="I162" s="163" t="s">
        <v>274</v>
      </c>
      <c r="J162" s="52">
        <v>4</v>
      </c>
      <c r="K162" s="53">
        <v>0</v>
      </c>
      <c r="L162" s="54">
        <f>493598</f>
        <v>493598</v>
      </c>
      <c r="M162" s="54">
        <v>0</v>
      </c>
      <c r="N162" s="53">
        <f t="shared" si="91"/>
        <v>493598</v>
      </c>
      <c r="O162" s="54">
        <v>0</v>
      </c>
      <c r="P162" s="54">
        <v>0</v>
      </c>
      <c r="Q162" s="54">
        <v>0</v>
      </c>
      <c r="R162" s="53">
        <f t="shared" si="92"/>
        <v>493598</v>
      </c>
      <c r="S162" s="54">
        <f>85933.7</f>
        <v>85933.7</v>
      </c>
      <c r="T162" s="55">
        <f t="shared" si="90"/>
        <v>0.1740965319956726</v>
      </c>
      <c r="U162" s="54">
        <f>31644.81</f>
        <v>31644.81</v>
      </c>
      <c r="V162" s="55">
        <f>U162/R162</f>
        <v>6.4110490723220115E-2</v>
      </c>
      <c r="W162" s="54">
        <f>31644.81</f>
        <v>31644.81</v>
      </c>
      <c r="X162" s="56">
        <f>W162/R162</f>
        <v>6.4110490723220115E-2</v>
      </c>
      <c r="Y162" s="57"/>
    </row>
    <row r="163" spans="1:25" s="41" customFormat="1" ht="9" customHeight="1" x14ac:dyDescent="0.2">
      <c r="A163" s="59"/>
      <c r="B163" s="60"/>
      <c r="C163" s="61"/>
      <c r="D163" s="62"/>
      <c r="E163" s="63"/>
      <c r="F163" s="64"/>
      <c r="G163" s="65"/>
      <c r="H163" s="61"/>
      <c r="I163" s="66"/>
      <c r="J163" s="67"/>
      <c r="K163" s="68"/>
      <c r="L163" s="69"/>
      <c r="M163" s="69"/>
      <c r="N163" s="68"/>
      <c r="O163" s="69"/>
      <c r="P163" s="69"/>
      <c r="Q163" s="69"/>
      <c r="R163" s="68"/>
      <c r="S163" s="69"/>
      <c r="T163" s="70"/>
      <c r="U163" s="69"/>
      <c r="V163" s="70"/>
      <c r="W163" s="69"/>
      <c r="X163" s="71"/>
    </row>
    <row r="164" spans="1:25" s="43" customFormat="1" ht="39" customHeight="1" x14ac:dyDescent="0.2">
      <c r="A164" s="86" t="s">
        <v>113</v>
      </c>
      <c r="B164" s="195" t="s">
        <v>114</v>
      </c>
      <c r="C164" s="196"/>
      <c r="D164" s="73" t="s">
        <v>158</v>
      </c>
      <c r="E164" s="74" t="s">
        <v>47</v>
      </c>
      <c r="F164" s="195" t="s">
        <v>159</v>
      </c>
      <c r="G164" s="197"/>
      <c r="H164" s="197"/>
      <c r="I164" s="197"/>
      <c r="J164" s="196"/>
      <c r="K164" s="75">
        <f>SUM(K165:K168)</f>
        <v>227320</v>
      </c>
      <c r="L164" s="75">
        <f t="shared" ref="L164:S164" si="93">SUM(L165:L168)</f>
        <v>9177</v>
      </c>
      <c r="M164" s="75">
        <f t="shared" si="93"/>
        <v>0</v>
      </c>
      <c r="N164" s="75">
        <f t="shared" si="93"/>
        <v>236497</v>
      </c>
      <c r="O164" s="75">
        <f t="shared" si="93"/>
        <v>0</v>
      </c>
      <c r="P164" s="75">
        <f t="shared" si="93"/>
        <v>0</v>
      </c>
      <c r="Q164" s="75">
        <f t="shared" si="93"/>
        <v>0</v>
      </c>
      <c r="R164" s="75">
        <f t="shared" si="93"/>
        <v>236497</v>
      </c>
      <c r="S164" s="75">
        <f t="shared" si="93"/>
        <v>16510.849999999999</v>
      </c>
      <c r="T164" s="76">
        <f t="shared" ref="T164:T168" si="94">S164/R164</f>
        <v>6.9814204831350923E-2</v>
      </c>
      <c r="U164" s="75">
        <f>SUM(U165:U168)</f>
        <v>3895.09</v>
      </c>
      <c r="V164" s="76">
        <f>U164/R164</f>
        <v>1.6469934079502067E-2</v>
      </c>
      <c r="W164" s="75">
        <f>SUM(W165:W168)</f>
        <v>3516.09</v>
      </c>
      <c r="X164" s="77">
        <f>W164/R164</f>
        <v>1.4867376753193487E-2</v>
      </c>
      <c r="Y164" s="42"/>
    </row>
    <row r="165" spans="1:25" s="58" customFormat="1" ht="39" customHeight="1" x14ac:dyDescent="0.2">
      <c r="A165" s="81" t="s">
        <v>113</v>
      </c>
      <c r="B165" s="45" t="s">
        <v>114</v>
      </c>
      <c r="C165" s="46" t="s">
        <v>48</v>
      </c>
      <c r="D165" s="47" t="s">
        <v>158</v>
      </c>
      <c r="E165" s="48" t="s">
        <v>47</v>
      </c>
      <c r="F165" s="49" t="s">
        <v>159</v>
      </c>
      <c r="G165" s="50">
        <v>1</v>
      </c>
      <c r="H165" s="46" t="s">
        <v>49</v>
      </c>
      <c r="I165" s="51" t="s">
        <v>50</v>
      </c>
      <c r="J165" s="52">
        <v>4</v>
      </c>
      <c r="K165" s="53">
        <v>102320</v>
      </c>
      <c r="L165" s="54">
        <v>0</v>
      </c>
      <c r="M165" s="54">
        <v>0</v>
      </c>
      <c r="N165" s="53">
        <f t="shared" si="91"/>
        <v>102320</v>
      </c>
      <c r="O165" s="54">
        <v>0</v>
      </c>
      <c r="P165" s="54">
        <v>0</v>
      </c>
      <c r="Q165" s="54">
        <v>0</v>
      </c>
      <c r="R165" s="53">
        <f t="shared" si="92"/>
        <v>102320</v>
      </c>
      <c r="S165" s="54">
        <f>379+133.9</f>
        <v>512.9</v>
      </c>
      <c r="T165" s="55">
        <f t="shared" si="94"/>
        <v>5.0127052384675522E-3</v>
      </c>
      <c r="U165" s="54">
        <f>379</f>
        <v>379</v>
      </c>
      <c r="V165" s="55">
        <f>U165/R165</f>
        <v>3.7040656763096167E-3</v>
      </c>
      <c r="W165" s="54">
        <v>0</v>
      </c>
      <c r="X165" s="56">
        <f>W165/R165</f>
        <v>0</v>
      </c>
      <c r="Y165" s="57"/>
    </row>
    <row r="166" spans="1:25" s="58" customFormat="1" ht="39" customHeight="1" x14ac:dyDescent="0.2">
      <c r="A166" s="81" t="s">
        <v>113</v>
      </c>
      <c r="B166" s="45" t="s">
        <v>114</v>
      </c>
      <c r="C166" s="46" t="s">
        <v>48</v>
      </c>
      <c r="D166" s="47" t="s">
        <v>158</v>
      </c>
      <c r="E166" s="48" t="s">
        <v>47</v>
      </c>
      <c r="F166" s="49" t="s">
        <v>159</v>
      </c>
      <c r="G166" s="50">
        <v>1</v>
      </c>
      <c r="H166" s="46" t="s">
        <v>115</v>
      </c>
      <c r="I166" s="85" t="s">
        <v>116</v>
      </c>
      <c r="J166" s="52">
        <v>4</v>
      </c>
      <c r="K166" s="53">
        <v>100000</v>
      </c>
      <c r="L166" s="54">
        <v>0</v>
      </c>
      <c r="M166" s="54">
        <v>0</v>
      </c>
      <c r="N166" s="53">
        <f t="shared" si="91"/>
        <v>100000</v>
      </c>
      <c r="O166" s="54">
        <v>0</v>
      </c>
      <c r="P166" s="54">
        <v>0</v>
      </c>
      <c r="Q166" s="54">
        <v>0</v>
      </c>
      <c r="R166" s="53">
        <f t="shared" si="92"/>
        <v>100000</v>
      </c>
      <c r="S166" s="54">
        <f>12481.86</f>
        <v>12481.86</v>
      </c>
      <c r="T166" s="55">
        <f t="shared" si="94"/>
        <v>0.1248186</v>
      </c>
      <c r="U166" s="54">
        <v>0</v>
      </c>
      <c r="V166" s="55">
        <f t="shared" ref="V166:V168" si="95">U166/R166</f>
        <v>0</v>
      </c>
      <c r="W166" s="54">
        <v>0</v>
      </c>
      <c r="X166" s="56">
        <f t="shared" ref="X166:X168" si="96">W166/R166</f>
        <v>0</v>
      </c>
      <c r="Y166" s="57"/>
    </row>
    <row r="167" spans="1:25" s="58" customFormat="1" ht="39" customHeight="1" x14ac:dyDescent="0.2">
      <c r="A167" s="81" t="s">
        <v>113</v>
      </c>
      <c r="B167" s="45" t="s">
        <v>114</v>
      </c>
      <c r="C167" s="46" t="s">
        <v>48</v>
      </c>
      <c r="D167" s="47" t="s">
        <v>158</v>
      </c>
      <c r="E167" s="48" t="s">
        <v>47</v>
      </c>
      <c r="F167" s="49" t="s">
        <v>159</v>
      </c>
      <c r="G167" s="50">
        <v>1</v>
      </c>
      <c r="H167" s="90" t="s">
        <v>156</v>
      </c>
      <c r="I167" s="91" t="s">
        <v>157</v>
      </c>
      <c r="J167" s="52">
        <v>4</v>
      </c>
      <c r="K167" s="53">
        <v>25000</v>
      </c>
      <c r="L167" s="54">
        <v>0</v>
      </c>
      <c r="M167" s="54">
        <v>0</v>
      </c>
      <c r="N167" s="53">
        <f t="shared" si="91"/>
        <v>25000</v>
      </c>
      <c r="O167" s="54">
        <v>0</v>
      </c>
      <c r="P167" s="54">
        <v>0</v>
      </c>
      <c r="Q167" s="54">
        <v>0</v>
      </c>
      <c r="R167" s="53">
        <f t="shared" si="92"/>
        <v>25000</v>
      </c>
      <c r="S167" s="54">
        <v>0</v>
      </c>
      <c r="T167" s="55">
        <f t="shared" si="94"/>
        <v>0</v>
      </c>
      <c r="U167" s="54">
        <v>0</v>
      </c>
      <c r="V167" s="55">
        <f t="shared" si="95"/>
        <v>0</v>
      </c>
      <c r="W167" s="54">
        <v>0</v>
      </c>
      <c r="X167" s="56">
        <f t="shared" si="96"/>
        <v>0</v>
      </c>
      <c r="Y167" s="57"/>
    </row>
    <row r="168" spans="1:25" s="58" customFormat="1" ht="39" customHeight="1" x14ac:dyDescent="0.2">
      <c r="A168" s="81" t="s">
        <v>113</v>
      </c>
      <c r="B168" s="45" t="s">
        <v>114</v>
      </c>
      <c r="C168" s="46" t="s">
        <v>48</v>
      </c>
      <c r="D168" s="47" t="s">
        <v>158</v>
      </c>
      <c r="E168" s="48" t="s">
        <v>47</v>
      </c>
      <c r="F168" s="49" t="s">
        <v>159</v>
      </c>
      <c r="G168" s="50">
        <v>1</v>
      </c>
      <c r="H168" s="162" t="s">
        <v>273</v>
      </c>
      <c r="I168" s="163" t="s">
        <v>274</v>
      </c>
      <c r="J168" s="52">
        <v>4</v>
      </c>
      <c r="K168" s="53">
        <v>0</v>
      </c>
      <c r="L168" s="54">
        <f>9177</f>
        <v>9177</v>
      </c>
      <c r="M168" s="54">
        <v>0</v>
      </c>
      <c r="N168" s="53">
        <f t="shared" si="91"/>
        <v>9177</v>
      </c>
      <c r="O168" s="54">
        <v>0</v>
      </c>
      <c r="P168" s="54">
        <v>0</v>
      </c>
      <c r="Q168" s="54">
        <v>0</v>
      </c>
      <c r="R168" s="53">
        <f t="shared" si="92"/>
        <v>9177</v>
      </c>
      <c r="S168" s="54">
        <f>3516.09</f>
        <v>3516.09</v>
      </c>
      <c r="T168" s="55">
        <f t="shared" si="94"/>
        <v>0.38314154952598889</v>
      </c>
      <c r="U168" s="54">
        <f>3516.09</f>
        <v>3516.09</v>
      </c>
      <c r="V168" s="55">
        <f t="shared" si="95"/>
        <v>0.38314154952598889</v>
      </c>
      <c r="W168" s="54">
        <f>3516.09</f>
        <v>3516.09</v>
      </c>
      <c r="X168" s="56">
        <f t="shared" si="96"/>
        <v>0.38314154952598889</v>
      </c>
      <c r="Y168" s="57"/>
    </row>
    <row r="169" spans="1:25" s="41" customFormat="1" ht="9" customHeight="1" x14ac:dyDescent="0.2">
      <c r="A169" s="59"/>
      <c r="B169" s="60"/>
      <c r="C169" s="61"/>
      <c r="D169" s="62"/>
      <c r="E169" s="63"/>
      <c r="F169" s="64"/>
      <c r="G169" s="65"/>
      <c r="H169" s="61"/>
      <c r="I169" s="66"/>
      <c r="J169" s="67"/>
      <c r="K169" s="68"/>
      <c r="L169" s="69"/>
      <c r="M169" s="69"/>
      <c r="N169" s="68"/>
      <c r="O169" s="69"/>
      <c r="P169" s="69"/>
      <c r="Q169" s="69"/>
      <c r="R169" s="68"/>
      <c r="S169" s="69"/>
      <c r="T169" s="70"/>
      <c r="U169" s="69"/>
      <c r="V169" s="70"/>
      <c r="W169" s="69"/>
      <c r="X169" s="71"/>
    </row>
    <row r="170" spans="1:25" s="43" customFormat="1" ht="39" customHeight="1" x14ac:dyDescent="0.2">
      <c r="A170" s="86" t="s">
        <v>113</v>
      </c>
      <c r="B170" s="195" t="s">
        <v>114</v>
      </c>
      <c r="C170" s="196"/>
      <c r="D170" s="73" t="s">
        <v>160</v>
      </c>
      <c r="E170" s="74" t="s">
        <v>47</v>
      </c>
      <c r="F170" s="195" t="s">
        <v>161</v>
      </c>
      <c r="G170" s="197"/>
      <c r="H170" s="197"/>
      <c r="I170" s="197"/>
      <c r="J170" s="196"/>
      <c r="K170" s="75">
        <f>SUM(K171:K175)</f>
        <v>581960</v>
      </c>
      <c r="L170" s="75">
        <f t="shared" ref="L170:S170" si="97">SUM(L171:L175)</f>
        <v>359763</v>
      </c>
      <c r="M170" s="75">
        <f t="shared" si="97"/>
        <v>0</v>
      </c>
      <c r="N170" s="75">
        <f t="shared" si="97"/>
        <v>941723</v>
      </c>
      <c r="O170" s="75">
        <f t="shared" si="97"/>
        <v>0</v>
      </c>
      <c r="P170" s="75">
        <f t="shared" si="97"/>
        <v>0</v>
      </c>
      <c r="Q170" s="75">
        <f t="shared" si="97"/>
        <v>0</v>
      </c>
      <c r="R170" s="75">
        <f t="shared" si="97"/>
        <v>941723</v>
      </c>
      <c r="S170" s="75">
        <f t="shared" si="97"/>
        <v>371061.61</v>
      </c>
      <c r="T170" s="76">
        <f t="shared" ref="T170:T175" si="98">S170/R170</f>
        <v>0.39402415572307353</v>
      </c>
      <c r="U170" s="75">
        <f>SUM(U171:U175)</f>
        <v>7979.68</v>
      </c>
      <c r="V170" s="76">
        <f>U170/R170</f>
        <v>8.4734895505366222E-3</v>
      </c>
      <c r="W170" s="75">
        <f>SUM(W171:W175)</f>
        <v>7032.18</v>
      </c>
      <c r="X170" s="77">
        <f>W170/R170</f>
        <v>7.4673550502642504E-3</v>
      </c>
      <c r="Y170" s="42"/>
    </row>
    <row r="171" spans="1:25" s="58" customFormat="1" ht="39" customHeight="1" x14ac:dyDescent="0.2">
      <c r="A171" s="81" t="s">
        <v>113</v>
      </c>
      <c r="B171" s="45" t="s">
        <v>114</v>
      </c>
      <c r="C171" s="46" t="s">
        <v>48</v>
      </c>
      <c r="D171" s="47" t="s">
        <v>160</v>
      </c>
      <c r="E171" s="48" t="s">
        <v>47</v>
      </c>
      <c r="F171" s="49" t="s">
        <v>162</v>
      </c>
      <c r="G171" s="50">
        <v>1</v>
      </c>
      <c r="H171" s="46" t="s">
        <v>49</v>
      </c>
      <c r="I171" s="51" t="s">
        <v>50</v>
      </c>
      <c r="J171" s="52">
        <v>4</v>
      </c>
      <c r="K171" s="53">
        <v>281960</v>
      </c>
      <c r="L171" s="54">
        <v>0</v>
      </c>
      <c r="M171" s="54">
        <v>0</v>
      </c>
      <c r="N171" s="53">
        <f t="shared" si="91"/>
        <v>281960</v>
      </c>
      <c r="O171" s="54">
        <v>0</v>
      </c>
      <c r="P171" s="54">
        <v>0</v>
      </c>
      <c r="Q171" s="54">
        <v>0</v>
      </c>
      <c r="R171" s="53">
        <f t="shared" si="92"/>
        <v>281960</v>
      </c>
      <c r="S171" s="54">
        <f>947.5+342.23</f>
        <v>1289.73</v>
      </c>
      <c r="T171" s="55">
        <f t="shared" si="98"/>
        <v>4.5741594552418784E-3</v>
      </c>
      <c r="U171" s="54">
        <f>947.5</f>
        <v>947.5</v>
      </c>
      <c r="V171" s="55">
        <f>U171/R171</f>
        <v>3.3604057313094057E-3</v>
      </c>
      <c r="W171" s="54">
        <v>0</v>
      </c>
      <c r="X171" s="56">
        <f>W171/R171</f>
        <v>0</v>
      </c>
      <c r="Y171" s="57"/>
    </row>
    <row r="172" spans="1:25" s="58" customFormat="1" ht="39" customHeight="1" x14ac:dyDescent="0.2">
      <c r="A172" s="81" t="s">
        <v>113</v>
      </c>
      <c r="B172" s="45" t="s">
        <v>114</v>
      </c>
      <c r="C172" s="46" t="s">
        <v>48</v>
      </c>
      <c r="D172" s="47" t="s">
        <v>160</v>
      </c>
      <c r="E172" s="48" t="s">
        <v>47</v>
      </c>
      <c r="F172" s="49" t="s">
        <v>162</v>
      </c>
      <c r="G172" s="50">
        <v>1</v>
      </c>
      <c r="H172" s="46" t="s">
        <v>115</v>
      </c>
      <c r="I172" s="85" t="s">
        <v>116</v>
      </c>
      <c r="J172" s="52">
        <v>4</v>
      </c>
      <c r="K172" s="53">
        <v>200000</v>
      </c>
      <c r="L172" s="54">
        <v>0</v>
      </c>
      <c r="M172" s="54">
        <v>0</v>
      </c>
      <c r="N172" s="53">
        <f t="shared" si="91"/>
        <v>200000</v>
      </c>
      <c r="O172" s="54">
        <v>0</v>
      </c>
      <c r="P172" s="54">
        <v>0</v>
      </c>
      <c r="Q172" s="54">
        <v>0</v>
      </c>
      <c r="R172" s="53">
        <f t="shared" si="92"/>
        <v>200000</v>
      </c>
      <c r="S172" s="54">
        <f>31810.72</f>
        <v>31810.720000000001</v>
      </c>
      <c r="T172" s="55">
        <f t="shared" si="98"/>
        <v>0.15905360000000002</v>
      </c>
      <c r="U172" s="54">
        <v>0</v>
      </c>
      <c r="V172" s="55">
        <f>U172/R172</f>
        <v>0</v>
      </c>
      <c r="W172" s="54">
        <v>0</v>
      </c>
      <c r="X172" s="56">
        <f>W172/R172</f>
        <v>0</v>
      </c>
      <c r="Y172" s="57"/>
    </row>
    <row r="173" spans="1:25" s="58" customFormat="1" ht="39" customHeight="1" x14ac:dyDescent="0.2">
      <c r="A173" s="81" t="s">
        <v>113</v>
      </c>
      <c r="B173" s="45" t="s">
        <v>114</v>
      </c>
      <c r="C173" s="46" t="s">
        <v>48</v>
      </c>
      <c r="D173" s="47" t="s">
        <v>160</v>
      </c>
      <c r="E173" s="48" t="s">
        <v>47</v>
      </c>
      <c r="F173" s="49" t="s">
        <v>162</v>
      </c>
      <c r="G173" s="50">
        <v>1</v>
      </c>
      <c r="H173" s="90" t="s">
        <v>156</v>
      </c>
      <c r="I173" s="91" t="s">
        <v>157</v>
      </c>
      <c r="J173" s="52">
        <v>4</v>
      </c>
      <c r="K173" s="53">
        <v>100000</v>
      </c>
      <c r="L173" s="54">
        <v>0</v>
      </c>
      <c r="M173" s="54">
        <v>0</v>
      </c>
      <c r="N173" s="53">
        <f t="shared" si="91"/>
        <v>100000</v>
      </c>
      <c r="O173" s="54">
        <v>0</v>
      </c>
      <c r="P173" s="54">
        <v>0</v>
      </c>
      <c r="Q173" s="54">
        <v>0</v>
      </c>
      <c r="R173" s="53">
        <f t="shared" si="92"/>
        <v>100000</v>
      </c>
      <c r="S173" s="54">
        <v>0</v>
      </c>
      <c r="T173" s="55">
        <f t="shared" si="98"/>
        <v>0</v>
      </c>
      <c r="U173" s="54">
        <v>0</v>
      </c>
      <c r="V173" s="55">
        <f>U173/R173</f>
        <v>0</v>
      </c>
      <c r="W173" s="54">
        <v>0</v>
      </c>
      <c r="X173" s="56">
        <f>W173/R173</f>
        <v>0</v>
      </c>
      <c r="Y173" s="57"/>
    </row>
    <row r="174" spans="1:25" s="58" customFormat="1" ht="39" customHeight="1" x14ac:dyDescent="0.2">
      <c r="A174" s="81" t="s">
        <v>113</v>
      </c>
      <c r="B174" s="45" t="s">
        <v>114</v>
      </c>
      <c r="C174" s="46" t="s">
        <v>48</v>
      </c>
      <c r="D174" s="47" t="s">
        <v>160</v>
      </c>
      <c r="E174" s="48" t="s">
        <v>47</v>
      </c>
      <c r="F174" s="49" t="s">
        <v>162</v>
      </c>
      <c r="G174" s="50">
        <v>1</v>
      </c>
      <c r="H174" s="162" t="s">
        <v>275</v>
      </c>
      <c r="I174" s="164" t="s">
        <v>276</v>
      </c>
      <c r="J174" s="52">
        <v>4</v>
      </c>
      <c r="K174" s="53">
        <v>0</v>
      </c>
      <c r="L174" s="54">
        <f>300000</f>
        <v>300000</v>
      </c>
      <c r="M174" s="54">
        <v>0</v>
      </c>
      <c r="N174" s="53">
        <f t="shared" si="91"/>
        <v>300000</v>
      </c>
      <c r="O174" s="54">
        <v>0</v>
      </c>
      <c r="P174" s="54">
        <v>0</v>
      </c>
      <c r="Q174" s="54">
        <v>0</v>
      </c>
      <c r="R174" s="53">
        <f t="shared" si="92"/>
        <v>300000</v>
      </c>
      <c r="S174" s="54">
        <f>300000</f>
        <v>300000</v>
      </c>
      <c r="T174" s="55">
        <f t="shared" si="98"/>
        <v>1</v>
      </c>
      <c r="U174" s="54">
        <v>0</v>
      </c>
      <c r="V174" s="55">
        <f t="shared" ref="V174:V175" si="99">U174/R174</f>
        <v>0</v>
      </c>
      <c r="W174" s="54">
        <v>0</v>
      </c>
      <c r="X174" s="56">
        <f t="shared" ref="X174:X175" si="100">W174/R174</f>
        <v>0</v>
      </c>
      <c r="Y174" s="57"/>
    </row>
    <row r="175" spans="1:25" s="58" customFormat="1" ht="39" customHeight="1" x14ac:dyDescent="0.2">
      <c r="A175" s="81" t="s">
        <v>113</v>
      </c>
      <c r="B175" s="45" t="s">
        <v>114</v>
      </c>
      <c r="C175" s="46" t="s">
        <v>48</v>
      </c>
      <c r="D175" s="47" t="s">
        <v>160</v>
      </c>
      <c r="E175" s="48" t="s">
        <v>47</v>
      </c>
      <c r="F175" s="49" t="s">
        <v>162</v>
      </c>
      <c r="G175" s="50">
        <v>1</v>
      </c>
      <c r="H175" s="162" t="s">
        <v>273</v>
      </c>
      <c r="I175" s="163" t="s">
        <v>274</v>
      </c>
      <c r="J175" s="52">
        <v>4</v>
      </c>
      <c r="K175" s="53">
        <v>0</v>
      </c>
      <c r="L175" s="54">
        <f>59763</f>
        <v>59763</v>
      </c>
      <c r="M175" s="54">
        <v>0</v>
      </c>
      <c r="N175" s="53">
        <f t="shared" si="91"/>
        <v>59763</v>
      </c>
      <c r="O175" s="54">
        <v>0</v>
      </c>
      <c r="P175" s="54">
        <v>0</v>
      </c>
      <c r="Q175" s="54">
        <v>0</v>
      </c>
      <c r="R175" s="53">
        <f t="shared" si="92"/>
        <v>59763</v>
      </c>
      <c r="S175" s="54">
        <f>37961.16</f>
        <v>37961.160000000003</v>
      </c>
      <c r="T175" s="55">
        <f t="shared" si="98"/>
        <v>0.63519502033030473</v>
      </c>
      <c r="U175" s="54">
        <f>7032.18</f>
        <v>7032.18</v>
      </c>
      <c r="V175" s="55">
        <f t="shared" si="99"/>
        <v>0.11766778776165855</v>
      </c>
      <c r="W175" s="54">
        <f>7032.18</f>
        <v>7032.18</v>
      </c>
      <c r="X175" s="56">
        <f t="shared" si="100"/>
        <v>0.11766778776165855</v>
      </c>
      <c r="Y175" s="57"/>
    </row>
    <row r="176" spans="1:25" s="41" customFormat="1" ht="9" customHeight="1" x14ac:dyDescent="0.2">
      <c r="A176" s="87"/>
      <c r="B176" s="60"/>
      <c r="C176" s="61"/>
      <c r="D176" s="62"/>
      <c r="E176" s="63"/>
      <c r="F176" s="64"/>
      <c r="G176" s="65"/>
      <c r="H176" s="61"/>
      <c r="I176" s="66"/>
      <c r="J176" s="67"/>
      <c r="K176" s="69"/>
      <c r="L176" s="69"/>
      <c r="M176" s="69"/>
      <c r="N176" s="69"/>
      <c r="O176" s="69"/>
      <c r="P176" s="69"/>
      <c r="Q176" s="69"/>
      <c r="R176" s="69"/>
      <c r="S176" s="69"/>
      <c r="T176" s="70"/>
      <c r="U176" s="69"/>
      <c r="V176" s="70"/>
      <c r="W176" s="69"/>
      <c r="X176" s="71"/>
    </row>
    <row r="177" spans="1:25" s="43" customFormat="1" ht="39" customHeight="1" x14ac:dyDescent="0.2">
      <c r="A177" s="86" t="s">
        <v>113</v>
      </c>
      <c r="B177" s="195" t="s">
        <v>114</v>
      </c>
      <c r="C177" s="196"/>
      <c r="D177" s="73" t="s">
        <v>163</v>
      </c>
      <c r="E177" s="74" t="s">
        <v>47</v>
      </c>
      <c r="F177" s="195" t="s">
        <v>164</v>
      </c>
      <c r="G177" s="197"/>
      <c r="H177" s="197"/>
      <c r="I177" s="197"/>
      <c r="J177" s="196"/>
      <c r="K177" s="75">
        <f>SUM(K178:K178)</f>
        <v>279460</v>
      </c>
      <c r="L177" s="75">
        <f t="shared" ref="L177:S177" si="101">SUM(L178:L178)</f>
        <v>0</v>
      </c>
      <c r="M177" s="75">
        <f t="shared" si="101"/>
        <v>0</v>
      </c>
      <c r="N177" s="75">
        <f t="shared" si="101"/>
        <v>279460</v>
      </c>
      <c r="O177" s="75">
        <f t="shared" si="101"/>
        <v>0</v>
      </c>
      <c r="P177" s="75">
        <f t="shared" si="101"/>
        <v>0</v>
      </c>
      <c r="Q177" s="75">
        <f t="shared" si="101"/>
        <v>0</v>
      </c>
      <c r="R177" s="75">
        <f t="shared" si="101"/>
        <v>279460</v>
      </c>
      <c r="S177" s="75">
        <f t="shared" si="101"/>
        <v>0</v>
      </c>
      <c r="T177" s="76">
        <f>S177/R177</f>
        <v>0</v>
      </c>
      <c r="U177" s="75">
        <f>SUM(U178:U178)</f>
        <v>0</v>
      </c>
      <c r="V177" s="76">
        <f>U177/R177</f>
        <v>0</v>
      </c>
      <c r="W177" s="75">
        <f>SUM(W178:W178)</f>
        <v>0</v>
      </c>
      <c r="X177" s="77">
        <f>W177/R177</f>
        <v>0</v>
      </c>
      <c r="Y177" s="42"/>
    </row>
    <row r="178" spans="1:25" s="43" customFormat="1" ht="39" customHeight="1" x14ac:dyDescent="0.2">
      <c r="A178" s="81" t="s">
        <v>113</v>
      </c>
      <c r="B178" s="45" t="s">
        <v>114</v>
      </c>
      <c r="C178" s="46" t="s">
        <v>48</v>
      </c>
      <c r="D178" s="47" t="s">
        <v>163</v>
      </c>
      <c r="E178" s="48" t="s">
        <v>47</v>
      </c>
      <c r="F178" s="49" t="s">
        <v>164</v>
      </c>
      <c r="G178" s="50">
        <v>1</v>
      </c>
      <c r="H178" s="46" t="s">
        <v>115</v>
      </c>
      <c r="I178" s="85" t="s">
        <v>116</v>
      </c>
      <c r="J178" s="52">
        <v>3</v>
      </c>
      <c r="K178" s="53">
        <v>279460</v>
      </c>
      <c r="L178" s="54">
        <v>0</v>
      </c>
      <c r="M178" s="54">
        <v>0</v>
      </c>
      <c r="N178" s="53">
        <f t="shared" ref="N178" si="102">K178+L178-M178</f>
        <v>279460</v>
      </c>
      <c r="O178" s="54">
        <v>0</v>
      </c>
      <c r="P178" s="54">
        <v>0</v>
      </c>
      <c r="Q178" s="54">
        <v>0</v>
      </c>
      <c r="R178" s="53">
        <f t="shared" ref="R178" si="103">N178-O178+P178+Q178</f>
        <v>279460</v>
      </c>
      <c r="S178" s="54">
        <v>0</v>
      </c>
      <c r="T178" s="55">
        <f>S178/R178</f>
        <v>0</v>
      </c>
      <c r="U178" s="54">
        <v>0</v>
      </c>
      <c r="V178" s="55">
        <f>U178/R178</f>
        <v>0</v>
      </c>
      <c r="W178" s="54">
        <v>0</v>
      </c>
      <c r="X178" s="56">
        <f>W178/R178</f>
        <v>0</v>
      </c>
      <c r="Y178" s="42"/>
    </row>
    <row r="179" spans="1:25" s="41" customFormat="1" ht="9" customHeight="1" x14ac:dyDescent="0.2">
      <c r="A179" s="87"/>
      <c r="B179" s="60"/>
      <c r="C179" s="61"/>
      <c r="D179" s="62"/>
      <c r="E179" s="63"/>
      <c r="F179" s="64"/>
      <c r="G179" s="65"/>
      <c r="H179" s="61"/>
      <c r="I179" s="66"/>
      <c r="J179" s="67"/>
      <c r="K179" s="69"/>
      <c r="L179" s="69"/>
      <c r="M179" s="69"/>
      <c r="N179" s="69"/>
      <c r="O179" s="69"/>
      <c r="P179" s="69"/>
      <c r="Q179" s="69"/>
      <c r="R179" s="69"/>
      <c r="S179" s="69"/>
      <c r="T179" s="70"/>
      <c r="U179" s="69"/>
      <c r="V179" s="70"/>
      <c r="W179" s="69"/>
      <c r="X179" s="71"/>
    </row>
    <row r="180" spans="1:25" s="43" customFormat="1" ht="39" customHeight="1" x14ac:dyDescent="0.2">
      <c r="A180" s="86" t="s">
        <v>113</v>
      </c>
      <c r="B180" s="195" t="s">
        <v>114</v>
      </c>
      <c r="C180" s="196"/>
      <c r="D180" s="73" t="s">
        <v>165</v>
      </c>
      <c r="E180" s="74" t="s">
        <v>47</v>
      </c>
      <c r="F180" s="195" t="s">
        <v>166</v>
      </c>
      <c r="G180" s="197"/>
      <c r="H180" s="197"/>
      <c r="I180" s="197"/>
      <c r="J180" s="196"/>
      <c r="K180" s="75">
        <f>SUM(K181:K182)</f>
        <v>408048</v>
      </c>
      <c r="L180" s="75">
        <f t="shared" ref="L180:S180" si="104">SUM(L181:L182)</f>
        <v>0</v>
      </c>
      <c r="M180" s="75">
        <f t="shared" si="104"/>
        <v>0</v>
      </c>
      <c r="N180" s="75">
        <f t="shared" si="104"/>
        <v>408048</v>
      </c>
      <c r="O180" s="75">
        <f t="shared" si="104"/>
        <v>0</v>
      </c>
      <c r="P180" s="75">
        <f t="shared" si="104"/>
        <v>0</v>
      </c>
      <c r="Q180" s="75">
        <f t="shared" si="104"/>
        <v>0</v>
      </c>
      <c r="R180" s="75">
        <f t="shared" si="104"/>
        <v>408048</v>
      </c>
      <c r="S180" s="75">
        <f t="shared" si="104"/>
        <v>15402.77</v>
      </c>
      <c r="T180" s="76">
        <f>S180/R180</f>
        <v>3.7747446378857394E-2</v>
      </c>
      <c r="U180" s="75">
        <f>SUM(U181:U182)</f>
        <v>2422.88</v>
      </c>
      <c r="V180" s="76">
        <f>U180/R180</f>
        <v>5.9377328157471671E-3</v>
      </c>
      <c r="W180" s="75">
        <f>SUM(W181:W182)</f>
        <v>2422.88</v>
      </c>
      <c r="X180" s="77">
        <f>W180/R180</f>
        <v>5.9377328157471671E-3</v>
      </c>
      <c r="Y180" s="42"/>
    </row>
    <row r="181" spans="1:25" s="58" customFormat="1" ht="39" customHeight="1" x14ac:dyDescent="0.2">
      <c r="A181" s="81" t="s">
        <v>113</v>
      </c>
      <c r="B181" s="45" t="s">
        <v>114</v>
      </c>
      <c r="C181" s="46" t="s">
        <v>48</v>
      </c>
      <c r="D181" s="47" t="s">
        <v>165</v>
      </c>
      <c r="E181" s="48" t="s">
        <v>47</v>
      </c>
      <c r="F181" s="49" t="s">
        <v>166</v>
      </c>
      <c r="G181" s="50">
        <v>1</v>
      </c>
      <c r="H181" s="46" t="s">
        <v>49</v>
      </c>
      <c r="I181" s="51" t="s">
        <v>50</v>
      </c>
      <c r="J181" s="52">
        <v>4</v>
      </c>
      <c r="K181" s="53">
        <v>60000</v>
      </c>
      <c r="L181" s="54">
        <v>0</v>
      </c>
      <c r="M181" s="54">
        <v>0</v>
      </c>
      <c r="N181" s="53">
        <f>K181+L181-M181</f>
        <v>60000</v>
      </c>
      <c r="O181" s="54">
        <v>0</v>
      </c>
      <c r="P181" s="54">
        <v>0</v>
      </c>
      <c r="Q181" s="54">
        <v>0</v>
      </c>
      <c r="R181" s="53">
        <f>N181-O181+P181+Q181</f>
        <v>60000</v>
      </c>
      <c r="S181" s="54">
        <f>12979.89</f>
        <v>12979.89</v>
      </c>
      <c r="T181" s="55">
        <f>S181/R181</f>
        <v>0.21633149999999998</v>
      </c>
      <c r="U181" s="54">
        <v>0</v>
      </c>
      <c r="V181" s="55">
        <f>U181/R181</f>
        <v>0</v>
      </c>
      <c r="W181" s="54">
        <v>0</v>
      </c>
      <c r="X181" s="56">
        <f>W181/R181</f>
        <v>0</v>
      </c>
      <c r="Y181" s="57"/>
    </row>
    <row r="182" spans="1:25" s="58" customFormat="1" ht="39" customHeight="1" x14ac:dyDescent="0.2">
      <c r="A182" s="81" t="s">
        <v>113</v>
      </c>
      <c r="B182" s="45" t="s">
        <v>114</v>
      </c>
      <c r="C182" s="46" t="s">
        <v>48</v>
      </c>
      <c r="D182" s="47" t="s">
        <v>165</v>
      </c>
      <c r="E182" s="48" t="s">
        <v>47</v>
      </c>
      <c r="F182" s="49" t="s">
        <v>166</v>
      </c>
      <c r="G182" s="50">
        <v>1</v>
      </c>
      <c r="H182" s="46" t="s">
        <v>115</v>
      </c>
      <c r="I182" s="85" t="s">
        <v>116</v>
      </c>
      <c r="J182" s="52">
        <v>3</v>
      </c>
      <c r="K182" s="53">
        <v>348048</v>
      </c>
      <c r="L182" s="54">
        <v>0</v>
      </c>
      <c r="M182" s="54">
        <v>0</v>
      </c>
      <c r="N182" s="53">
        <f>K182+L182-M182</f>
        <v>348048</v>
      </c>
      <c r="O182" s="54">
        <v>0</v>
      </c>
      <c r="P182" s="54">
        <v>0</v>
      </c>
      <c r="Q182" s="54">
        <v>0</v>
      </c>
      <c r="R182" s="53">
        <f>N182-O182+P182+Q182</f>
        <v>348048</v>
      </c>
      <c r="S182" s="54">
        <f>1211.44+1211.44</f>
        <v>2422.88</v>
      </c>
      <c r="T182" s="55">
        <f>S182/R182</f>
        <v>6.9613386659311358E-3</v>
      </c>
      <c r="U182" s="54">
        <f>2422.88</f>
        <v>2422.88</v>
      </c>
      <c r="V182" s="55">
        <f>U182/R182</f>
        <v>6.9613386659311358E-3</v>
      </c>
      <c r="W182" s="54">
        <f>2422.88</f>
        <v>2422.88</v>
      </c>
      <c r="X182" s="56">
        <f>W182/R182</f>
        <v>6.9613386659311358E-3</v>
      </c>
      <c r="Y182" s="89"/>
    </row>
    <row r="183" spans="1:25" s="41" customFormat="1" ht="9" customHeight="1" x14ac:dyDescent="0.2">
      <c r="A183" s="87"/>
      <c r="B183" s="60"/>
      <c r="C183" s="61"/>
      <c r="D183" s="62"/>
      <c r="E183" s="63"/>
      <c r="F183" s="64"/>
      <c r="G183" s="65"/>
      <c r="H183" s="61"/>
      <c r="I183" s="66"/>
      <c r="J183" s="67"/>
      <c r="K183" s="69"/>
      <c r="L183" s="69"/>
      <c r="M183" s="69"/>
      <c r="N183" s="69"/>
      <c r="O183" s="69"/>
      <c r="P183" s="69"/>
      <c r="Q183" s="69"/>
      <c r="R183" s="69"/>
      <c r="S183" s="69"/>
      <c r="T183" s="70"/>
      <c r="U183" s="69"/>
      <c r="V183" s="70"/>
      <c r="W183" s="69"/>
      <c r="X183" s="71"/>
    </row>
    <row r="184" spans="1:25" s="43" customFormat="1" ht="39" customHeight="1" x14ac:dyDescent="0.2">
      <c r="A184" s="86" t="s">
        <v>113</v>
      </c>
      <c r="B184" s="195" t="s">
        <v>114</v>
      </c>
      <c r="C184" s="196"/>
      <c r="D184" s="73" t="s">
        <v>167</v>
      </c>
      <c r="E184" s="74" t="s">
        <v>47</v>
      </c>
      <c r="F184" s="195" t="s">
        <v>168</v>
      </c>
      <c r="G184" s="197"/>
      <c r="H184" s="197"/>
      <c r="I184" s="197"/>
      <c r="J184" s="196"/>
      <c r="K184" s="92">
        <f>SUM(K185:K186)</f>
        <v>1717000</v>
      </c>
      <c r="L184" s="92">
        <f t="shared" ref="L184:S184" si="105">SUM(L185:L186)</f>
        <v>45610</v>
      </c>
      <c r="M184" s="92">
        <f t="shared" si="105"/>
        <v>0</v>
      </c>
      <c r="N184" s="92">
        <f t="shared" si="105"/>
        <v>1762610</v>
      </c>
      <c r="O184" s="92">
        <f t="shared" si="105"/>
        <v>0</v>
      </c>
      <c r="P184" s="92">
        <f t="shared" si="105"/>
        <v>0</v>
      </c>
      <c r="Q184" s="92">
        <f t="shared" si="105"/>
        <v>0</v>
      </c>
      <c r="R184" s="92">
        <f t="shared" si="105"/>
        <v>1762610</v>
      </c>
      <c r="S184" s="92">
        <f t="shared" si="105"/>
        <v>351010.91000000003</v>
      </c>
      <c r="T184" s="76">
        <f>S184/R184</f>
        <v>0.19914269747703692</v>
      </c>
      <c r="U184" s="92">
        <f>SUM(U185:U186)</f>
        <v>239972.87999999998</v>
      </c>
      <c r="V184" s="76">
        <f>U184/R184</f>
        <v>0.13614632845609634</v>
      </c>
      <c r="W184" s="92">
        <f>SUM(W185:W186)</f>
        <v>239972.87999999998</v>
      </c>
      <c r="X184" s="77">
        <f>W184/R184</f>
        <v>0.13614632845609634</v>
      </c>
      <c r="Y184" s="42"/>
    </row>
    <row r="185" spans="1:25" s="58" customFormat="1" ht="39" customHeight="1" x14ac:dyDescent="0.2">
      <c r="A185" s="81" t="s">
        <v>113</v>
      </c>
      <c r="B185" s="45" t="s">
        <v>114</v>
      </c>
      <c r="C185" s="46" t="s">
        <v>48</v>
      </c>
      <c r="D185" s="47" t="s">
        <v>167</v>
      </c>
      <c r="E185" s="48" t="s">
        <v>47</v>
      </c>
      <c r="F185" s="49" t="s">
        <v>168</v>
      </c>
      <c r="G185" s="50">
        <v>1</v>
      </c>
      <c r="H185" s="46" t="s">
        <v>115</v>
      </c>
      <c r="I185" s="85" t="s">
        <v>116</v>
      </c>
      <c r="J185" s="84">
        <v>3</v>
      </c>
      <c r="K185" s="54">
        <v>1717000</v>
      </c>
      <c r="L185" s="54">
        <v>0</v>
      </c>
      <c r="M185" s="54">
        <v>0</v>
      </c>
      <c r="N185" s="54">
        <f>K185+L185-M185</f>
        <v>1717000</v>
      </c>
      <c r="O185" s="54">
        <v>0</v>
      </c>
      <c r="P185" s="54">
        <v>0</v>
      </c>
      <c r="Q185" s="54">
        <v>0</v>
      </c>
      <c r="R185" s="54">
        <f>N185-O185+P185+Q185</f>
        <v>1717000</v>
      </c>
      <c r="S185" s="54">
        <f>74454.79+142379.65+119180.2</f>
        <v>336014.64</v>
      </c>
      <c r="T185" s="55">
        <f>S185/R185</f>
        <v>0.19569868375072802</v>
      </c>
      <c r="U185" s="54">
        <f>58072.67+106065.87+63798.07</f>
        <v>227936.61</v>
      </c>
      <c r="V185" s="55">
        <f>U185/R185</f>
        <v>0.13275283051834594</v>
      </c>
      <c r="W185" s="54">
        <f>57569.03+94985.27+75382.31</f>
        <v>227936.61</v>
      </c>
      <c r="X185" s="56">
        <f t="shared" ref="X185:X186" si="106">W185/R185</f>
        <v>0.13275283051834594</v>
      </c>
      <c r="Y185" s="57"/>
    </row>
    <row r="186" spans="1:25" s="58" customFormat="1" ht="39" customHeight="1" x14ac:dyDescent="0.2">
      <c r="A186" s="81" t="s">
        <v>113</v>
      </c>
      <c r="B186" s="45" t="s">
        <v>114</v>
      </c>
      <c r="C186" s="46" t="s">
        <v>48</v>
      </c>
      <c r="D186" s="47" t="s">
        <v>167</v>
      </c>
      <c r="E186" s="48" t="s">
        <v>47</v>
      </c>
      <c r="F186" s="49" t="s">
        <v>168</v>
      </c>
      <c r="G186" s="50">
        <v>1</v>
      </c>
      <c r="H186" s="162" t="s">
        <v>273</v>
      </c>
      <c r="I186" s="163" t="s">
        <v>274</v>
      </c>
      <c r="J186" s="84">
        <v>3</v>
      </c>
      <c r="K186" s="54">
        <v>0</v>
      </c>
      <c r="L186" s="54">
        <f>45610</f>
        <v>45610</v>
      </c>
      <c r="M186" s="54">
        <v>0</v>
      </c>
      <c r="N186" s="54">
        <f>K186+L186-M186</f>
        <v>45610</v>
      </c>
      <c r="O186" s="54">
        <v>0</v>
      </c>
      <c r="P186" s="54">
        <v>0</v>
      </c>
      <c r="Q186" s="54">
        <v>0</v>
      </c>
      <c r="R186" s="54">
        <f>N186-O186+P186+Q186</f>
        <v>45610</v>
      </c>
      <c r="S186" s="54">
        <f>12446.27+2550</f>
        <v>14996.27</v>
      </c>
      <c r="T186" s="55">
        <f>S186/R186</f>
        <v>0.32879346634509976</v>
      </c>
      <c r="U186" s="54">
        <f>7646.27+4390</f>
        <v>12036.27</v>
      </c>
      <c r="V186" s="55">
        <f>U186/R186</f>
        <v>0.26389541767156327</v>
      </c>
      <c r="W186" s="54">
        <f>7646.27+4390</f>
        <v>12036.27</v>
      </c>
      <c r="X186" s="56">
        <f t="shared" si="106"/>
        <v>0.26389541767156327</v>
      </c>
      <c r="Y186" s="57"/>
    </row>
    <row r="187" spans="1:25" s="41" customFormat="1" ht="9" customHeight="1" x14ac:dyDescent="0.2">
      <c r="A187" s="87"/>
      <c r="B187" s="60"/>
      <c r="C187" s="61"/>
      <c r="D187" s="62"/>
      <c r="E187" s="63"/>
      <c r="F187" s="64"/>
      <c r="G187" s="65"/>
      <c r="H187" s="61"/>
      <c r="I187" s="66"/>
      <c r="J187" s="67"/>
      <c r="K187" s="69"/>
      <c r="L187" s="69"/>
      <c r="M187" s="69"/>
      <c r="N187" s="69"/>
      <c r="O187" s="69"/>
      <c r="P187" s="69"/>
      <c r="Q187" s="69"/>
      <c r="R187" s="69"/>
      <c r="S187" s="69"/>
      <c r="T187" s="70"/>
      <c r="U187" s="69"/>
      <c r="V187" s="70"/>
      <c r="W187" s="69"/>
      <c r="X187" s="71"/>
    </row>
    <row r="188" spans="1:25" s="43" customFormat="1" ht="39" customHeight="1" x14ac:dyDescent="0.2">
      <c r="A188" s="86" t="s">
        <v>113</v>
      </c>
      <c r="B188" s="195" t="s">
        <v>114</v>
      </c>
      <c r="C188" s="196"/>
      <c r="D188" s="73" t="s">
        <v>169</v>
      </c>
      <c r="E188" s="74" t="s">
        <v>47</v>
      </c>
      <c r="F188" s="195" t="s">
        <v>170</v>
      </c>
      <c r="G188" s="197"/>
      <c r="H188" s="197"/>
      <c r="I188" s="197"/>
      <c r="J188" s="196"/>
      <c r="K188" s="75">
        <f>K189</f>
        <v>15000</v>
      </c>
      <c r="L188" s="75">
        <f t="shared" ref="L188:S188" si="107">L189</f>
        <v>0</v>
      </c>
      <c r="M188" s="75">
        <f t="shared" si="107"/>
        <v>0</v>
      </c>
      <c r="N188" s="75">
        <f t="shared" si="107"/>
        <v>15000</v>
      </c>
      <c r="O188" s="75">
        <f t="shared" si="107"/>
        <v>0</v>
      </c>
      <c r="P188" s="75">
        <f t="shared" si="107"/>
        <v>0</v>
      </c>
      <c r="Q188" s="75">
        <f t="shared" si="107"/>
        <v>0</v>
      </c>
      <c r="R188" s="75">
        <f t="shared" si="107"/>
        <v>15000</v>
      </c>
      <c r="S188" s="75">
        <f t="shared" si="107"/>
        <v>0</v>
      </c>
      <c r="T188" s="76">
        <f>S188/R188</f>
        <v>0</v>
      </c>
      <c r="U188" s="75">
        <f>U189</f>
        <v>0</v>
      </c>
      <c r="V188" s="76">
        <f>U188/R188</f>
        <v>0</v>
      </c>
      <c r="W188" s="75">
        <f>W189</f>
        <v>0</v>
      </c>
      <c r="X188" s="77">
        <f>W188/R188</f>
        <v>0</v>
      </c>
      <c r="Y188" s="42"/>
    </row>
    <row r="189" spans="1:25" s="58" customFormat="1" ht="39" customHeight="1" x14ac:dyDescent="0.2">
      <c r="A189" s="81" t="s">
        <v>113</v>
      </c>
      <c r="B189" s="45" t="s">
        <v>114</v>
      </c>
      <c r="C189" s="46" t="s">
        <v>64</v>
      </c>
      <c r="D189" s="47" t="s">
        <v>169</v>
      </c>
      <c r="E189" s="48" t="s">
        <v>47</v>
      </c>
      <c r="F189" s="49" t="s">
        <v>170</v>
      </c>
      <c r="G189" s="50">
        <v>1</v>
      </c>
      <c r="H189" s="46" t="s">
        <v>115</v>
      </c>
      <c r="I189" s="85" t="s">
        <v>116</v>
      </c>
      <c r="J189" s="52">
        <v>3</v>
      </c>
      <c r="K189" s="53">
        <v>15000</v>
      </c>
      <c r="L189" s="54">
        <v>0</v>
      </c>
      <c r="M189" s="54">
        <v>0</v>
      </c>
      <c r="N189" s="53">
        <f>K189+L189-M189</f>
        <v>15000</v>
      </c>
      <c r="O189" s="54">
        <v>0</v>
      </c>
      <c r="P189" s="54">
        <v>0</v>
      </c>
      <c r="Q189" s="54">
        <v>0</v>
      </c>
      <c r="R189" s="53">
        <f>N189-O189+P189+Q189</f>
        <v>15000</v>
      </c>
      <c r="S189" s="54">
        <v>0</v>
      </c>
      <c r="T189" s="55">
        <f>S189/R189</f>
        <v>0</v>
      </c>
      <c r="U189" s="54">
        <v>0</v>
      </c>
      <c r="V189" s="55">
        <f>U189/R189</f>
        <v>0</v>
      </c>
      <c r="W189" s="54">
        <v>0</v>
      </c>
      <c r="X189" s="56">
        <f>W189/R189</f>
        <v>0</v>
      </c>
      <c r="Y189" s="57"/>
    </row>
    <row r="190" spans="1:25" s="41" customFormat="1" ht="9" customHeight="1" x14ac:dyDescent="0.2">
      <c r="A190" s="87"/>
      <c r="B190" s="60"/>
      <c r="C190" s="61"/>
      <c r="D190" s="62"/>
      <c r="E190" s="63"/>
      <c r="F190" s="64"/>
      <c r="G190" s="65"/>
      <c r="H190" s="61"/>
      <c r="I190" s="66"/>
      <c r="J190" s="67"/>
      <c r="K190" s="69"/>
      <c r="L190" s="69"/>
      <c r="M190" s="69"/>
      <c r="N190" s="69"/>
      <c r="O190" s="69"/>
      <c r="P190" s="69"/>
      <c r="Q190" s="69"/>
      <c r="R190" s="69"/>
      <c r="S190" s="69"/>
      <c r="T190" s="70"/>
      <c r="U190" s="69"/>
      <c r="V190" s="70"/>
      <c r="W190" s="69"/>
      <c r="X190" s="71"/>
    </row>
    <row r="191" spans="1:25" s="43" customFormat="1" ht="39" customHeight="1" x14ac:dyDescent="0.2">
      <c r="A191" s="86" t="s">
        <v>113</v>
      </c>
      <c r="B191" s="195" t="s">
        <v>114</v>
      </c>
      <c r="C191" s="196"/>
      <c r="D191" s="73" t="s">
        <v>171</v>
      </c>
      <c r="E191" s="74" t="s">
        <v>47</v>
      </c>
      <c r="F191" s="195" t="s">
        <v>172</v>
      </c>
      <c r="G191" s="197"/>
      <c r="H191" s="197"/>
      <c r="I191" s="197"/>
      <c r="J191" s="196"/>
      <c r="K191" s="75">
        <f>SUM(K192:K193)</f>
        <v>2201929</v>
      </c>
      <c r="L191" s="75">
        <f t="shared" ref="L191:U191" si="108">SUM(L192:L193)</f>
        <v>0</v>
      </c>
      <c r="M191" s="75">
        <f t="shared" si="108"/>
        <v>0</v>
      </c>
      <c r="N191" s="75">
        <f t="shared" si="108"/>
        <v>2201929</v>
      </c>
      <c r="O191" s="75">
        <f t="shared" si="108"/>
        <v>0</v>
      </c>
      <c r="P191" s="75">
        <f t="shared" si="108"/>
        <v>0</v>
      </c>
      <c r="Q191" s="75">
        <f t="shared" si="108"/>
        <v>0</v>
      </c>
      <c r="R191" s="75">
        <f t="shared" si="108"/>
        <v>2201929</v>
      </c>
      <c r="S191" s="75">
        <f t="shared" si="108"/>
        <v>0</v>
      </c>
      <c r="T191" s="76">
        <f>S191/R191</f>
        <v>0</v>
      </c>
      <c r="U191" s="75">
        <f t="shared" si="108"/>
        <v>0</v>
      </c>
      <c r="V191" s="76">
        <f>U191/R191</f>
        <v>0</v>
      </c>
      <c r="W191" s="75">
        <f>SUM(W192:W193)</f>
        <v>0</v>
      </c>
      <c r="X191" s="77">
        <f>W191/R191</f>
        <v>0</v>
      </c>
      <c r="Y191" s="42"/>
    </row>
    <row r="192" spans="1:25" s="58" customFormat="1" ht="39" customHeight="1" x14ac:dyDescent="0.2">
      <c r="A192" s="81" t="s">
        <v>113</v>
      </c>
      <c r="B192" s="45" t="s">
        <v>114</v>
      </c>
      <c r="C192" s="46" t="s">
        <v>64</v>
      </c>
      <c r="D192" s="47" t="s">
        <v>171</v>
      </c>
      <c r="E192" s="48" t="s">
        <v>47</v>
      </c>
      <c r="F192" s="49" t="s">
        <v>172</v>
      </c>
      <c r="G192" s="50">
        <v>1</v>
      </c>
      <c r="H192" s="46" t="s">
        <v>49</v>
      </c>
      <c r="I192" s="51" t="s">
        <v>50</v>
      </c>
      <c r="J192" s="52">
        <v>4</v>
      </c>
      <c r="K192" s="53">
        <v>250000</v>
      </c>
      <c r="L192" s="54">
        <v>0</v>
      </c>
      <c r="M192" s="54">
        <v>0</v>
      </c>
      <c r="N192" s="53">
        <f>K192+L192-M192</f>
        <v>250000</v>
      </c>
      <c r="O192" s="54">
        <v>0</v>
      </c>
      <c r="P192" s="54">
        <v>0</v>
      </c>
      <c r="Q192" s="54">
        <v>0</v>
      </c>
      <c r="R192" s="53">
        <f>N192-O192+P192+Q192</f>
        <v>250000</v>
      </c>
      <c r="S192" s="54">
        <v>0</v>
      </c>
      <c r="T192" s="55">
        <f>S192/R192</f>
        <v>0</v>
      </c>
      <c r="U192" s="54">
        <v>0</v>
      </c>
      <c r="V192" s="55">
        <f>U192/R192</f>
        <v>0</v>
      </c>
      <c r="W192" s="54">
        <v>0</v>
      </c>
      <c r="X192" s="56">
        <f>W192/R192</f>
        <v>0</v>
      </c>
      <c r="Y192" s="57"/>
    </row>
    <row r="193" spans="1:25" s="58" customFormat="1" ht="39" customHeight="1" x14ac:dyDescent="0.2">
      <c r="A193" s="81" t="s">
        <v>113</v>
      </c>
      <c r="B193" s="45" t="s">
        <v>114</v>
      </c>
      <c r="C193" s="46" t="s">
        <v>64</v>
      </c>
      <c r="D193" s="47" t="s">
        <v>171</v>
      </c>
      <c r="E193" s="48" t="s">
        <v>47</v>
      </c>
      <c r="F193" s="49" t="s">
        <v>172</v>
      </c>
      <c r="G193" s="50">
        <v>1</v>
      </c>
      <c r="H193" s="46" t="s">
        <v>115</v>
      </c>
      <c r="I193" s="85" t="s">
        <v>116</v>
      </c>
      <c r="J193" s="52">
        <v>3</v>
      </c>
      <c r="K193" s="53">
        <v>1951929</v>
      </c>
      <c r="L193" s="54">
        <v>0</v>
      </c>
      <c r="M193" s="54">
        <v>0</v>
      </c>
      <c r="N193" s="53">
        <f>K193+L193-M193</f>
        <v>1951929</v>
      </c>
      <c r="O193" s="54">
        <v>0</v>
      </c>
      <c r="P193" s="54">
        <v>0</v>
      </c>
      <c r="Q193" s="54">
        <v>0</v>
      </c>
      <c r="R193" s="53">
        <f>N193-O193+P193+Q193</f>
        <v>1951929</v>
      </c>
      <c r="S193" s="54">
        <v>0</v>
      </c>
      <c r="T193" s="55">
        <f>S193/R193</f>
        <v>0</v>
      </c>
      <c r="U193" s="54">
        <v>0</v>
      </c>
      <c r="V193" s="55">
        <f>U193/R193</f>
        <v>0</v>
      </c>
      <c r="W193" s="54">
        <v>0</v>
      </c>
      <c r="X193" s="56">
        <f>W193/R193</f>
        <v>0</v>
      </c>
      <c r="Y193" s="57"/>
    </row>
    <row r="194" spans="1:25" s="41" customFormat="1" ht="9" customHeight="1" x14ac:dyDescent="0.2">
      <c r="A194" s="87"/>
      <c r="B194" s="60"/>
      <c r="C194" s="61"/>
      <c r="D194" s="62"/>
      <c r="E194" s="63"/>
      <c r="F194" s="64"/>
      <c r="G194" s="65"/>
      <c r="H194" s="61"/>
      <c r="I194" s="66"/>
      <c r="J194" s="67"/>
      <c r="K194" s="69"/>
      <c r="L194" s="69"/>
      <c r="M194" s="69"/>
      <c r="N194" s="69"/>
      <c r="O194" s="69"/>
      <c r="P194" s="69"/>
      <c r="Q194" s="69"/>
      <c r="R194" s="69"/>
      <c r="S194" s="69"/>
      <c r="T194" s="70"/>
      <c r="U194" s="69"/>
      <c r="V194" s="70"/>
      <c r="W194" s="69"/>
      <c r="X194" s="71"/>
    </row>
    <row r="195" spans="1:25" s="43" customFormat="1" ht="39" customHeight="1" x14ac:dyDescent="0.2">
      <c r="A195" s="86" t="s">
        <v>113</v>
      </c>
      <c r="B195" s="195" t="s">
        <v>114</v>
      </c>
      <c r="C195" s="196"/>
      <c r="D195" s="73" t="s">
        <v>173</v>
      </c>
      <c r="E195" s="74" t="s">
        <v>62</v>
      </c>
      <c r="F195" s="195" t="s">
        <v>174</v>
      </c>
      <c r="G195" s="197"/>
      <c r="H195" s="197"/>
      <c r="I195" s="197"/>
      <c r="J195" s="196"/>
      <c r="K195" s="75">
        <f>SUM(K196:K197)</f>
        <v>35355767</v>
      </c>
      <c r="L195" s="75">
        <f t="shared" ref="L195:S195" si="109">SUM(L196:L197)</f>
        <v>724964</v>
      </c>
      <c r="M195" s="75">
        <f t="shared" si="109"/>
        <v>0</v>
      </c>
      <c r="N195" s="75">
        <f t="shared" si="109"/>
        <v>36080731</v>
      </c>
      <c r="O195" s="75">
        <f t="shared" si="109"/>
        <v>0</v>
      </c>
      <c r="P195" s="75">
        <f t="shared" si="109"/>
        <v>0</v>
      </c>
      <c r="Q195" s="75">
        <f t="shared" si="109"/>
        <v>0</v>
      </c>
      <c r="R195" s="75">
        <f t="shared" si="109"/>
        <v>36080731</v>
      </c>
      <c r="S195" s="75">
        <f t="shared" si="109"/>
        <v>4236460.47</v>
      </c>
      <c r="T195" s="76">
        <f t="shared" ref="T195:T197" si="110">S195/R195</f>
        <v>0.11741614852537216</v>
      </c>
      <c r="U195" s="75">
        <f>SUM(U196:U197)</f>
        <v>3510748.32</v>
      </c>
      <c r="V195" s="76">
        <f>U195/R195</f>
        <v>9.7302582921615408E-2</v>
      </c>
      <c r="W195" s="75">
        <f>SUM(W196:W197)</f>
        <v>3441249.46</v>
      </c>
      <c r="X195" s="77">
        <f>W195/R195</f>
        <v>9.5376378599424716E-2</v>
      </c>
      <c r="Y195" s="42"/>
    </row>
    <row r="196" spans="1:25" s="58" customFormat="1" ht="39" customHeight="1" x14ac:dyDescent="0.2">
      <c r="A196" s="81" t="s">
        <v>113</v>
      </c>
      <c r="B196" s="45" t="s">
        <v>114</v>
      </c>
      <c r="C196" s="46" t="s">
        <v>64</v>
      </c>
      <c r="D196" s="47" t="s">
        <v>173</v>
      </c>
      <c r="E196" s="48" t="s">
        <v>62</v>
      </c>
      <c r="F196" s="49" t="s">
        <v>174</v>
      </c>
      <c r="G196" s="50">
        <v>1</v>
      </c>
      <c r="H196" s="46" t="s">
        <v>115</v>
      </c>
      <c r="I196" s="85" t="s">
        <v>116</v>
      </c>
      <c r="J196" s="52">
        <v>3</v>
      </c>
      <c r="K196" s="53">
        <v>35355767</v>
      </c>
      <c r="L196" s="54">
        <v>0</v>
      </c>
      <c r="M196" s="54">
        <v>0</v>
      </c>
      <c r="N196" s="53">
        <f>K196+L196-M196</f>
        <v>35355767</v>
      </c>
      <c r="O196" s="54">
        <v>0</v>
      </c>
      <c r="P196" s="54">
        <v>0</v>
      </c>
      <c r="Q196" s="54">
        <v>0</v>
      </c>
      <c r="R196" s="53">
        <f>N196-O196+P196+Q196</f>
        <v>35355767</v>
      </c>
      <c r="S196" s="54">
        <f>634967.6+1412851.27+1833131.5</f>
        <v>3880950.37</v>
      </c>
      <c r="T196" s="55">
        <f t="shared" si="110"/>
        <v>0.10976852432589003</v>
      </c>
      <c r="U196" s="54">
        <f>580575.96+1123084.42+1451577.84</f>
        <v>3155238.2199999997</v>
      </c>
      <c r="V196" s="55">
        <f>U196/R196</f>
        <v>8.9242533474100549E-2</v>
      </c>
      <c r="W196" s="54">
        <f>545078.34+656673.98+1883987.04</f>
        <v>3085739.36</v>
      </c>
      <c r="X196" s="56">
        <f>W196/R196</f>
        <v>8.7276832659294312E-2</v>
      </c>
      <c r="Y196" s="57"/>
    </row>
    <row r="197" spans="1:25" s="58" customFormat="1" ht="39" customHeight="1" x14ac:dyDescent="0.2">
      <c r="A197" s="81" t="s">
        <v>113</v>
      </c>
      <c r="B197" s="45" t="s">
        <v>114</v>
      </c>
      <c r="C197" s="46" t="s">
        <v>64</v>
      </c>
      <c r="D197" s="47" t="s">
        <v>173</v>
      </c>
      <c r="E197" s="48" t="s">
        <v>62</v>
      </c>
      <c r="F197" s="49" t="s">
        <v>174</v>
      </c>
      <c r="G197" s="50">
        <v>1</v>
      </c>
      <c r="H197" s="162" t="s">
        <v>273</v>
      </c>
      <c r="I197" s="163" t="s">
        <v>274</v>
      </c>
      <c r="J197" s="52">
        <v>3</v>
      </c>
      <c r="K197" s="53">
        <v>0</v>
      </c>
      <c r="L197" s="54">
        <f>724964</f>
        <v>724964</v>
      </c>
      <c r="M197" s="54">
        <v>0</v>
      </c>
      <c r="N197" s="53">
        <f>K197+L197-M197</f>
        <v>724964</v>
      </c>
      <c r="O197" s="54">
        <v>0</v>
      </c>
      <c r="P197" s="54">
        <v>0</v>
      </c>
      <c r="Q197" s="54">
        <v>0</v>
      </c>
      <c r="R197" s="53">
        <f>N197-O197+P197+Q197</f>
        <v>724964</v>
      </c>
      <c r="S197" s="54">
        <f>316633.55+38876.55</f>
        <v>355510.1</v>
      </c>
      <c r="T197" s="55">
        <f t="shared" si="110"/>
        <v>0.49038310867849988</v>
      </c>
      <c r="U197" s="54">
        <f>298131.4+57378.7</f>
        <v>355510.10000000003</v>
      </c>
      <c r="V197" s="55">
        <f>U197/R197</f>
        <v>0.49038310867849993</v>
      </c>
      <c r="W197" s="54">
        <f>100495+255015.1</f>
        <v>355510.1</v>
      </c>
      <c r="X197" s="56">
        <f>W197/R197</f>
        <v>0.49038310867849988</v>
      </c>
      <c r="Y197" s="57"/>
    </row>
    <row r="198" spans="1:25" s="41" customFormat="1" ht="9" customHeight="1" x14ac:dyDescent="0.2">
      <c r="A198" s="87"/>
      <c r="B198" s="60"/>
      <c r="C198" s="61"/>
      <c r="D198" s="62"/>
      <c r="E198" s="63"/>
      <c r="F198" s="64"/>
      <c r="G198" s="65"/>
      <c r="H198" s="61"/>
      <c r="I198" s="66"/>
      <c r="J198" s="67"/>
      <c r="K198" s="69"/>
      <c r="L198" s="69"/>
      <c r="M198" s="69"/>
      <c r="N198" s="69"/>
      <c r="O198" s="69"/>
      <c r="P198" s="69"/>
      <c r="Q198" s="69"/>
      <c r="R198" s="69"/>
      <c r="S198" s="69"/>
      <c r="T198" s="70"/>
      <c r="U198" s="69"/>
      <c r="V198" s="70"/>
      <c r="W198" s="69"/>
      <c r="X198" s="71"/>
    </row>
    <row r="199" spans="1:25" s="43" customFormat="1" ht="39" customHeight="1" x14ac:dyDescent="0.2">
      <c r="A199" s="86" t="s">
        <v>113</v>
      </c>
      <c r="B199" s="195" t="s">
        <v>114</v>
      </c>
      <c r="C199" s="196"/>
      <c r="D199" s="73" t="s">
        <v>175</v>
      </c>
      <c r="E199" s="74" t="s">
        <v>62</v>
      </c>
      <c r="F199" s="195" t="s">
        <v>63</v>
      </c>
      <c r="G199" s="197"/>
      <c r="H199" s="197"/>
      <c r="I199" s="197"/>
      <c r="J199" s="196"/>
      <c r="K199" s="75">
        <f>SUM(K200:K200)</f>
        <v>7635462</v>
      </c>
      <c r="L199" s="75">
        <f t="shared" ref="L199:S199" si="111">SUM(L200:L200)</f>
        <v>0</v>
      </c>
      <c r="M199" s="75">
        <f t="shared" si="111"/>
        <v>0</v>
      </c>
      <c r="N199" s="75">
        <f t="shared" si="111"/>
        <v>7635462</v>
      </c>
      <c r="O199" s="75">
        <f t="shared" si="111"/>
        <v>0</v>
      </c>
      <c r="P199" s="75">
        <f t="shared" si="111"/>
        <v>0</v>
      </c>
      <c r="Q199" s="75">
        <f t="shared" si="111"/>
        <v>0</v>
      </c>
      <c r="R199" s="75">
        <f t="shared" si="111"/>
        <v>7635462</v>
      </c>
      <c r="S199" s="75">
        <f t="shared" si="111"/>
        <v>2835827.2199999997</v>
      </c>
      <c r="T199" s="76">
        <f>S199/R199</f>
        <v>0.3714021784143513</v>
      </c>
      <c r="U199" s="75">
        <f>SUM(U200:U200)</f>
        <v>2831297.83</v>
      </c>
      <c r="V199" s="76">
        <f>U199/R199</f>
        <v>0.37080897396909318</v>
      </c>
      <c r="W199" s="75">
        <f>SUM(W200:W200)</f>
        <v>2831297.83</v>
      </c>
      <c r="X199" s="77">
        <f>W199/R199</f>
        <v>0.37080897396909318</v>
      </c>
      <c r="Y199" s="42"/>
    </row>
    <row r="200" spans="1:25" s="58" customFormat="1" ht="39" customHeight="1" x14ac:dyDescent="0.2">
      <c r="A200" s="81" t="s">
        <v>113</v>
      </c>
      <c r="B200" s="45" t="s">
        <v>114</v>
      </c>
      <c r="C200" s="46" t="s">
        <v>64</v>
      </c>
      <c r="D200" s="47" t="s">
        <v>175</v>
      </c>
      <c r="E200" s="48" t="s">
        <v>62</v>
      </c>
      <c r="F200" s="49" t="s">
        <v>63</v>
      </c>
      <c r="G200" s="50">
        <v>1</v>
      </c>
      <c r="H200" s="46" t="s">
        <v>115</v>
      </c>
      <c r="I200" s="85" t="s">
        <v>116</v>
      </c>
      <c r="J200" s="52">
        <v>3</v>
      </c>
      <c r="K200" s="53">
        <v>7635462</v>
      </c>
      <c r="L200" s="54">
        <v>0</v>
      </c>
      <c r="M200" s="54">
        <v>0</v>
      </c>
      <c r="N200" s="53">
        <f>K200+L200-M200</f>
        <v>7635462</v>
      </c>
      <c r="O200" s="54">
        <v>0</v>
      </c>
      <c r="P200" s="54">
        <v>0</v>
      </c>
      <c r="Q200" s="54">
        <v>0</v>
      </c>
      <c r="R200" s="53">
        <f>N200-O200+P200+Q200</f>
        <v>7635462</v>
      </c>
      <c r="S200" s="54">
        <f>834302.53+902650.35+1098874.34</f>
        <v>2835827.2199999997</v>
      </c>
      <c r="T200" s="55">
        <f>S200/R200</f>
        <v>0.3714021784143513</v>
      </c>
      <c r="U200" s="54">
        <f>834302.53+902650.35+1094344.95</f>
        <v>2831297.83</v>
      </c>
      <c r="V200" s="55">
        <f>U200/R200</f>
        <v>0.37080897396909318</v>
      </c>
      <c r="W200" s="54">
        <f>834302.53+902650.35+1094344.95</f>
        <v>2831297.83</v>
      </c>
      <c r="X200" s="56">
        <f>W200/R200</f>
        <v>0.37080897396909318</v>
      </c>
      <c r="Y200" s="57"/>
    </row>
    <row r="201" spans="1:25" s="41" customFormat="1" ht="9" customHeight="1" x14ac:dyDescent="0.2">
      <c r="A201" s="87"/>
      <c r="B201" s="60"/>
      <c r="C201" s="61"/>
      <c r="D201" s="62"/>
      <c r="E201" s="63"/>
      <c r="F201" s="64"/>
      <c r="G201" s="65"/>
      <c r="H201" s="61"/>
      <c r="I201" s="66"/>
      <c r="J201" s="67"/>
      <c r="K201" s="69"/>
      <c r="L201" s="69"/>
      <c r="M201" s="69"/>
      <c r="N201" s="69"/>
      <c r="O201" s="69"/>
      <c r="P201" s="69"/>
      <c r="Q201" s="69"/>
      <c r="R201" s="69"/>
      <c r="S201" s="69"/>
      <c r="T201" s="70"/>
      <c r="U201" s="69"/>
      <c r="V201" s="70"/>
      <c r="W201" s="69"/>
      <c r="X201" s="71"/>
    </row>
    <row r="202" spans="1:25" s="43" customFormat="1" ht="39" customHeight="1" x14ac:dyDescent="0.2">
      <c r="A202" s="86" t="s">
        <v>113</v>
      </c>
      <c r="B202" s="195" t="s">
        <v>114</v>
      </c>
      <c r="C202" s="196"/>
      <c r="D202" s="73" t="s">
        <v>176</v>
      </c>
      <c r="E202" s="74" t="s">
        <v>62</v>
      </c>
      <c r="F202" s="195" t="s">
        <v>177</v>
      </c>
      <c r="G202" s="197"/>
      <c r="H202" s="197"/>
      <c r="I202" s="197"/>
      <c r="J202" s="196"/>
      <c r="K202" s="75">
        <f>SUM(K203:K203)</f>
        <v>371888</v>
      </c>
      <c r="L202" s="75">
        <f t="shared" ref="L202:S202" si="112">SUM(L203:L203)</f>
        <v>0</v>
      </c>
      <c r="M202" s="75">
        <f t="shared" si="112"/>
        <v>0</v>
      </c>
      <c r="N202" s="75">
        <f t="shared" si="112"/>
        <v>371888</v>
      </c>
      <c r="O202" s="75">
        <f t="shared" si="112"/>
        <v>0</v>
      </c>
      <c r="P202" s="75">
        <f t="shared" si="112"/>
        <v>0</v>
      </c>
      <c r="Q202" s="75">
        <f t="shared" si="112"/>
        <v>0</v>
      </c>
      <c r="R202" s="75">
        <f t="shared" si="112"/>
        <v>371888</v>
      </c>
      <c r="S202" s="75">
        <f t="shared" si="112"/>
        <v>133726.07</v>
      </c>
      <c r="T202" s="76">
        <f>S202/R202</f>
        <v>0.35958694553198817</v>
      </c>
      <c r="U202" s="75">
        <f>SUM(U203:U203)</f>
        <v>133726.07</v>
      </c>
      <c r="V202" s="76">
        <f>U202/R202</f>
        <v>0.35958694553198817</v>
      </c>
      <c r="W202" s="75">
        <f>SUM(W203:W203)</f>
        <v>133726.07</v>
      </c>
      <c r="X202" s="77">
        <f>W202/R202</f>
        <v>0.35958694553198817</v>
      </c>
      <c r="Y202" s="42"/>
    </row>
    <row r="203" spans="1:25" s="58" customFormat="1" ht="39" customHeight="1" x14ac:dyDescent="0.2">
      <c r="A203" s="81" t="s">
        <v>113</v>
      </c>
      <c r="B203" s="45" t="s">
        <v>114</v>
      </c>
      <c r="C203" s="46" t="s">
        <v>64</v>
      </c>
      <c r="D203" s="47" t="s">
        <v>176</v>
      </c>
      <c r="E203" s="48" t="s">
        <v>62</v>
      </c>
      <c r="F203" s="49" t="s">
        <v>68</v>
      </c>
      <c r="G203" s="50">
        <v>1</v>
      </c>
      <c r="H203" s="46" t="s">
        <v>115</v>
      </c>
      <c r="I203" s="85" t="s">
        <v>116</v>
      </c>
      <c r="J203" s="52">
        <v>3</v>
      </c>
      <c r="K203" s="53">
        <v>371888</v>
      </c>
      <c r="L203" s="54">
        <v>0</v>
      </c>
      <c r="M203" s="54">
        <v>0</v>
      </c>
      <c r="N203" s="53">
        <f>K203+L203-M203</f>
        <v>371888</v>
      </c>
      <c r="O203" s="54">
        <v>0</v>
      </c>
      <c r="P203" s="54">
        <v>0</v>
      </c>
      <c r="Q203" s="54">
        <v>0</v>
      </c>
      <c r="R203" s="53">
        <f>N203-O203+P203+Q203</f>
        <v>371888</v>
      </c>
      <c r="S203" s="54">
        <f>39263.62+43869.61+50592.84</f>
        <v>133726.07</v>
      </c>
      <c r="T203" s="55">
        <f>S203/R203</f>
        <v>0.35958694553198817</v>
      </c>
      <c r="U203" s="54">
        <f>39263.62+43869.61+50592.84</f>
        <v>133726.07</v>
      </c>
      <c r="V203" s="55">
        <f>U203/R203</f>
        <v>0.35958694553198817</v>
      </c>
      <c r="W203" s="54">
        <f>39263.62+43869.61+50592.84</f>
        <v>133726.07</v>
      </c>
      <c r="X203" s="56">
        <f>W203/R203</f>
        <v>0.35958694553198817</v>
      </c>
      <c r="Y203" s="57"/>
    </row>
    <row r="204" spans="1:25" s="41" customFormat="1" ht="9" customHeight="1" x14ac:dyDescent="0.2">
      <c r="A204" s="59"/>
      <c r="B204" s="60"/>
      <c r="C204" s="61"/>
      <c r="D204" s="62"/>
      <c r="E204" s="63"/>
      <c r="F204" s="64"/>
      <c r="G204" s="65"/>
      <c r="H204" s="61"/>
      <c r="I204" s="66"/>
      <c r="J204" s="67"/>
      <c r="K204" s="68"/>
      <c r="L204" s="69"/>
      <c r="M204" s="69"/>
      <c r="N204" s="68"/>
      <c r="O204" s="69"/>
      <c r="P204" s="69"/>
      <c r="Q204" s="69"/>
      <c r="R204" s="68"/>
      <c r="S204" s="69"/>
      <c r="T204" s="70"/>
      <c r="U204" s="69"/>
      <c r="V204" s="70"/>
      <c r="W204" s="69"/>
      <c r="X204" s="71"/>
    </row>
    <row r="205" spans="1:25" s="43" customFormat="1" ht="39" customHeight="1" x14ac:dyDescent="0.2">
      <c r="A205" s="86" t="s">
        <v>113</v>
      </c>
      <c r="B205" s="195" t="s">
        <v>114</v>
      </c>
      <c r="C205" s="196"/>
      <c r="D205" s="73" t="s">
        <v>178</v>
      </c>
      <c r="E205" s="74" t="s">
        <v>62</v>
      </c>
      <c r="F205" s="195" t="s">
        <v>70</v>
      </c>
      <c r="G205" s="197"/>
      <c r="H205" s="197"/>
      <c r="I205" s="197"/>
      <c r="J205" s="196"/>
      <c r="K205" s="75">
        <f>SUM(K206:K206)</f>
        <v>299157</v>
      </c>
      <c r="L205" s="75">
        <f t="shared" ref="L205:S205" si="113">SUM(L206:L206)</f>
        <v>0</v>
      </c>
      <c r="M205" s="75">
        <f t="shared" si="113"/>
        <v>0</v>
      </c>
      <c r="N205" s="75">
        <f t="shared" si="113"/>
        <v>299157</v>
      </c>
      <c r="O205" s="75">
        <f t="shared" si="113"/>
        <v>0</v>
      </c>
      <c r="P205" s="75">
        <f t="shared" si="113"/>
        <v>0</v>
      </c>
      <c r="Q205" s="75">
        <f t="shared" si="113"/>
        <v>0</v>
      </c>
      <c r="R205" s="75">
        <f t="shared" si="113"/>
        <v>299157</v>
      </c>
      <c r="S205" s="75">
        <f t="shared" si="113"/>
        <v>80866.559999999998</v>
      </c>
      <c r="T205" s="76">
        <f>S205/R205</f>
        <v>0.27031478454457025</v>
      </c>
      <c r="U205" s="75">
        <f>SUM(U206:U206)</f>
        <v>80866.559999999998</v>
      </c>
      <c r="V205" s="76">
        <f>U205/R205</f>
        <v>0.27031478454457025</v>
      </c>
      <c r="W205" s="75">
        <f>SUM(W206:W206)</f>
        <v>80866.559999999998</v>
      </c>
      <c r="X205" s="77">
        <f>W205/R205</f>
        <v>0.27031478454457025</v>
      </c>
      <c r="Y205" s="42"/>
    </row>
    <row r="206" spans="1:25" s="58" customFormat="1" ht="39" customHeight="1" x14ac:dyDescent="0.2">
      <c r="A206" s="81" t="s">
        <v>113</v>
      </c>
      <c r="B206" s="45" t="s">
        <v>114</v>
      </c>
      <c r="C206" s="46" t="s">
        <v>64</v>
      </c>
      <c r="D206" s="47" t="s">
        <v>178</v>
      </c>
      <c r="E206" s="48" t="s">
        <v>62</v>
      </c>
      <c r="F206" s="49" t="s">
        <v>179</v>
      </c>
      <c r="G206" s="50">
        <v>1</v>
      </c>
      <c r="H206" s="46" t="s">
        <v>115</v>
      </c>
      <c r="I206" s="85" t="s">
        <v>116</v>
      </c>
      <c r="J206" s="52">
        <v>3</v>
      </c>
      <c r="K206" s="53">
        <v>299157</v>
      </c>
      <c r="L206" s="54">
        <v>0</v>
      </c>
      <c r="M206" s="54">
        <v>0</v>
      </c>
      <c r="N206" s="53">
        <f>K206+L206-M206</f>
        <v>299157</v>
      </c>
      <c r="O206" s="54">
        <v>0</v>
      </c>
      <c r="P206" s="54">
        <v>0</v>
      </c>
      <c r="Q206" s="54">
        <v>0</v>
      </c>
      <c r="R206" s="53">
        <f>N206-O206+P206+Q206</f>
        <v>299157</v>
      </c>
      <c r="S206" s="54">
        <f>25670.69+28293.67+26902.2</f>
        <v>80866.559999999998</v>
      </c>
      <c r="T206" s="55">
        <f>S206/R206</f>
        <v>0.27031478454457025</v>
      </c>
      <c r="U206" s="54">
        <f>25670.69+28293.67+26902.2</f>
        <v>80866.559999999998</v>
      </c>
      <c r="V206" s="55">
        <f>U206/R206</f>
        <v>0.27031478454457025</v>
      </c>
      <c r="W206" s="54">
        <f>25670.69+28293.67+26902.2</f>
        <v>80866.559999999998</v>
      </c>
      <c r="X206" s="56">
        <f>W206/R206</f>
        <v>0.27031478454457025</v>
      </c>
      <c r="Y206" s="57"/>
    </row>
    <row r="207" spans="1:25" s="41" customFormat="1" ht="9" customHeight="1" x14ac:dyDescent="0.2">
      <c r="A207" s="87"/>
      <c r="B207" s="60"/>
      <c r="C207" s="61"/>
      <c r="D207" s="62"/>
      <c r="E207" s="63"/>
      <c r="F207" s="64"/>
      <c r="G207" s="65"/>
      <c r="H207" s="61"/>
      <c r="I207" s="66"/>
      <c r="J207" s="67"/>
      <c r="K207" s="69"/>
      <c r="L207" s="69"/>
      <c r="M207" s="69"/>
      <c r="N207" s="69"/>
      <c r="O207" s="69"/>
      <c r="P207" s="69"/>
      <c r="Q207" s="69"/>
      <c r="R207" s="69"/>
      <c r="S207" s="69"/>
      <c r="T207" s="70"/>
      <c r="U207" s="69"/>
      <c r="V207" s="70"/>
      <c r="W207" s="69"/>
      <c r="X207" s="71"/>
    </row>
    <row r="208" spans="1:25" s="43" customFormat="1" ht="39" customHeight="1" x14ac:dyDescent="0.2">
      <c r="A208" s="86" t="s">
        <v>113</v>
      </c>
      <c r="B208" s="195" t="s">
        <v>114</v>
      </c>
      <c r="C208" s="196"/>
      <c r="D208" s="73" t="s">
        <v>180</v>
      </c>
      <c r="E208" s="74" t="s">
        <v>62</v>
      </c>
      <c r="F208" s="195" t="s">
        <v>181</v>
      </c>
      <c r="G208" s="197"/>
      <c r="H208" s="197"/>
      <c r="I208" s="197"/>
      <c r="J208" s="196"/>
      <c r="K208" s="75">
        <f>SUM(K209:K210)</f>
        <v>9746097</v>
      </c>
      <c r="L208" s="75">
        <f t="shared" ref="L208:S208" si="114">SUM(L209:L210)</f>
        <v>6610</v>
      </c>
      <c r="M208" s="75">
        <f t="shared" si="114"/>
        <v>0</v>
      </c>
      <c r="N208" s="75">
        <f t="shared" si="114"/>
        <v>9752707</v>
      </c>
      <c r="O208" s="75">
        <f t="shared" si="114"/>
        <v>0</v>
      </c>
      <c r="P208" s="75">
        <f t="shared" si="114"/>
        <v>0</v>
      </c>
      <c r="Q208" s="75">
        <f t="shared" si="114"/>
        <v>0</v>
      </c>
      <c r="R208" s="75">
        <f t="shared" si="114"/>
        <v>9752707</v>
      </c>
      <c r="S208" s="75">
        <f t="shared" si="114"/>
        <v>721149.56</v>
      </c>
      <c r="T208" s="76">
        <f>S208/R208</f>
        <v>7.3943527679033116E-2</v>
      </c>
      <c r="U208" s="75">
        <f>SUM(U209:U210)</f>
        <v>481517.4</v>
      </c>
      <c r="V208" s="76">
        <f>U208/R208</f>
        <v>4.9372692115122505E-2</v>
      </c>
      <c r="W208" s="75">
        <f>SUM(W209:W210)</f>
        <v>478110.78</v>
      </c>
      <c r="X208" s="77">
        <f>W208/R208</f>
        <v>4.9023392172040034E-2</v>
      </c>
      <c r="Y208" s="42"/>
    </row>
    <row r="209" spans="1:25" s="58" customFormat="1" ht="39" customHeight="1" x14ac:dyDescent="0.2">
      <c r="A209" s="81" t="s">
        <v>113</v>
      </c>
      <c r="B209" s="45" t="s">
        <v>114</v>
      </c>
      <c r="C209" s="46" t="s">
        <v>64</v>
      </c>
      <c r="D209" s="47" t="s">
        <v>180</v>
      </c>
      <c r="E209" s="48" t="s">
        <v>62</v>
      </c>
      <c r="F209" s="49" t="s">
        <v>181</v>
      </c>
      <c r="G209" s="50">
        <v>1</v>
      </c>
      <c r="H209" s="46" t="s">
        <v>115</v>
      </c>
      <c r="I209" s="85" t="s">
        <v>116</v>
      </c>
      <c r="J209" s="52">
        <v>3</v>
      </c>
      <c r="K209" s="53">
        <v>9746097</v>
      </c>
      <c r="L209" s="54">
        <v>0</v>
      </c>
      <c r="M209" s="54">
        <v>0</v>
      </c>
      <c r="N209" s="53">
        <f>K209+L209-M209</f>
        <v>9746097</v>
      </c>
      <c r="O209" s="54">
        <v>0</v>
      </c>
      <c r="P209" s="54">
        <v>0</v>
      </c>
      <c r="Q209" s="54">
        <v>0</v>
      </c>
      <c r="R209" s="53">
        <f>N209-O209+P209+Q209</f>
        <v>9746097</v>
      </c>
      <c r="S209" s="54">
        <f>19415.27+215983.49+483191.65</f>
        <v>718590.41</v>
      </c>
      <c r="T209" s="55">
        <f>S209/R209</f>
        <v>7.373109563756651E-2</v>
      </c>
      <c r="U209" s="54">
        <f>18743.19+145956.19+314258.87</f>
        <v>478958.25</v>
      </c>
      <c r="V209" s="55">
        <f t="shared" ref="V209:V210" si="115">U209/R209</f>
        <v>4.914359563628394E-2</v>
      </c>
      <c r="W209" s="54">
        <f>18743.19+63010.7+393797.74</f>
        <v>475551.63</v>
      </c>
      <c r="X209" s="56">
        <f>W209/R209</f>
        <v>4.8794058790919075E-2</v>
      </c>
      <c r="Y209" s="57"/>
    </row>
    <row r="210" spans="1:25" s="58" customFormat="1" ht="39" customHeight="1" x14ac:dyDescent="0.2">
      <c r="A210" s="81" t="s">
        <v>113</v>
      </c>
      <c r="B210" s="45" t="s">
        <v>114</v>
      </c>
      <c r="C210" s="46" t="s">
        <v>64</v>
      </c>
      <c r="D210" s="47" t="s">
        <v>180</v>
      </c>
      <c r="E210" s="48" t="s">
        <v>62</v>
      </c>
      <c r="F210" s="49" t="s">
        <v>181</v>
      </c>
      <c r="G210" s="50">
        <v>1</v>
      </c>
      <c r="H210" s="162" t="s">
        <v>273</v>
      </c>
      <c r="I210" s="163" t="s">
        <v>274</v>
      </c>
      <c r="J210" s="52">
        <v>3</v>
      </c>
      <c r="K210" s="53">
        <v>0</v>
      </c>
      <c r="L210" s="54">
        <f>6610</f>
        <v>6610</v>
      </c>
      <c r="M210" s="54">
        <v>0</v>
      </c>
      <c r="N210" s="53">
        <f>K210+L210-M210</f>
        <v>6610</v>
      </c>
      <c r="O210" s="54">
        <v>0</v>
      </c>
      <c r="P210" s="54">
        <v>0</v>
      </c>
      <c r="Q210" s="54">
        <v>0</v>
      </c>
      <c r="R210" s="53">
        <f>N210-O210+P210+Q210</f>
        <v>6610</v>
      </c>
      <c r="S210" s="54">
        <f>1603.48+955.67</f>
        <v>2559.15</v>
      </c>
      <c r="T210" s="55">
        <f>S210/R210</f>
        <v>0.38716338880484119</v>
      </c>
      <c r="U210" s="54">
        <f>2559.15</f>
        <v>2559.15</v>
      </c>
      <c r="V210" s="55">
        <f t="shared" si="115"/>
        <v>0.38716338880484119</v>
      </c>
      <c r="W210" s="54">
        <f>2559.15</f>
        <v>2559.15</v>
      </c>
      <c r="X210" s="56">
        <f>W210/R210</f>
        <v>0.38716338880484119</v>
      </c>
      <c r="Y210" s="57"/>
    </row>
    <row r="211" spans="1:25" s="41" customFormat="1" ht="9" customHeight="1" x14ac:dyDescent="0.2">
      <c r="A211" s="59"/>
      <c r="B211" s="60"/>
      <c r="C211" s="61"/>
      <c r="D211" s="62"/>
      <c r="E211" s="63"/>
      <c r="F211" s="64"/>
      <c r="G211" s="65"/>
      <c r="H211" s="61"/>
      <c r="I211" s="66"/>
      <c r="J211" s="67"/>
      <c r="K211" s="68"/>
      <c r="L211" s="69"/>
      <c r="M211" s="69"/>
      <c r="N211" s="68"/>
      <c r="O211" s="69"/>
      <c r="P211" s="69"/>
      <c r="Q211" s="69"/>
      <c r="R211" s="68"/>
      <c r="S211" s="69"/>
      <c r="T211" s="70"/>
      <c r="U211" s="69"/>
      <c r="V211" s="70"/>
      <c r="W211" s="69"/>
      <c r="X211" s="71"/>
    </row>
    <row r="212" spans="1:25" s="43" customFormat="1" ht="39" customHeight="1" x14ac:dyDescent="0.2">
      <c r="A212" s="86" t="s">
        <v>113</v>
      </c>
      <c r="B212" s="195" t="s">
        <v>114</v>
      </c>
      <c r="C212" s="196"/>
      <c r="D212" s="73" t="s">
        <v>182</v>
      </c>
      <c r="E212" s="74" t="s">
        <v>62</v>
      </c>
      <c r="F212" s="195" t="s">
        <v>80</v>
      </c>
      <c r="G212" s="197"/>
      <c r="H212" s="197"/>
      <c r="I212" s="197"/>
      <c r="J212" s="196"/>
      <c r="K212" s="75">
        <f>SUM(K213:K214)</f>
        <v>17303311</v>
      </c>
      <c r="L212" s="75">
        <f t="shared" ref="L212:S212" si="116">SUM(L213:L214)</f>
        <v>45899</v>
      </c>
      <c r="M212" s="75">
        <f t="shared" si="116"/>
        <v>0</v>
      </c>
      <c r="N212" s="75">
        <f t="shared" si="116"/>
        <v>17349210</v>
      </c>
      <c r="O212" s="75">
        <f t="shared" si="116"/>
        <v>0</v>
      </c>
      <c r="P212" s="75">
        <f t="shared" si="116"/>
        <v>0</v>
      </c>
      <c r="Q212" s="75">
        <f t="shared" si="116"/>
        <v>-243123.09000000003</v>
      </c>
      <c r="R212" s="75">
        <f t="shared" si="116"/>
        <v>17106086.91</v>
      </c>
      <c r="S212" s="75">
        <f t="shared" si="116"/>
        <v>1254010.44</v>
      </c>
      <c r="T212" s="76">
        <f>S212/R212</f>
        <v>7.3307849223361629E-2</v>
      </c>
      <c r="U212" s="75">
        <f>SUM(U213:U214)</f>
        <v>985731.21000000008</v>
      </c>
      <c r="V212" s="76">
        <f>U212/R212</f>
        <v>5.7624587971884689E-2</v>
      </c>
      <c r="W212" s="75">
        <f>SUM(W213:W214)</f>
        <v>958612.06</v>
      </c>
      <c r="X212" s="77">
        <f>W212/R212</f>
        <v>5.6039237088150631E-2</v>
      </c>
      <c r="Y212" s="42"/>
    </row>
    <row r="213" spans="1:25" s="58" customFormat="1" ht="39" customHeight="1" x14ac:dyDescent="0.2">
      <c r="A213" s="81" t="s">
        <v>113</v>
      </c>
      <c r="B213" s="45" t="s">
        <v>114</v>
      </c>
      <c r="C213" s="46" t="s">
        <v>64</v>
      </c>
      <c r="D213" s="47" t="s">
        <v>182</v>
      </c>
      <c r="E213" s="48" t="s">
        <v>62</v>
      </c>
      <c r="F213" s="49" t="s">
        <v>183</v>
      </c>
      <c r="G213" s="50">
        <v>1</v>
      </c>
      <c r="H213" s="46" t="s">
        <v>115</v>
      </c>
      <c r="I213" s="85" t="s">
        <v>116</v>
      </c>
      <c r="J213" s="52">
        <v>3</v>
      </c>
      <c r="K213" s="53">
        <v>17303311</v>
      </c>
      <c r="L213" s="54">
        <v>0</v>
      </c>
      <c r="M213" s="54">
        <v>0</v>
      </c>
      <c r="N213" s="53">
        <f>K213+L213-M213</f>
        <v>17303311</v>
      </c>
      <c r="O213" s="54">
        <v>0</v>
      </c>
      <c r="P213" s="54">
        <v>0</v>
      </c>
      <c r="Q213" s="54">
        <f>-132546.23-110576.86</f>
        <v>-243123.09000000003</v>
      </c>
      <c r="R213" s="53">
        <f>N213-O213+P213+Q213</f>
        <v>17060187.91</v>
      </c>
      <c r="S213" s="54">
        <f>38009.62+299790.58+893904.56</f>
        <v>1231704.76</v>
      </c>
      <c r="T213" s="55">
        <f>S213/R213</f>
        <v>7.2197608050848253E-2</v>
      </c>
      <c r="U213" s="54">
        <f>37673.57+248703.71+677048.25</f>
        <v>963425.53</v>
      </c>
      <c r="V213" s="55">
        <f>U213/R213</f>
        <v>5.6472152304681153E-2</v>
      </c>
      <c r="W213" s="54">
        <f>37673.57+185608.44+713024.37</f>
        <v>936306.38</v>
      </c>
      <c r="X213" s="56">
        <f>W213/R213</f>
        <v>5.4882536167797695E-2</v>
      </c>
      <c r="Y213" s="57"/>
    </row>
    <row r="214" spans="1:25" s="58" customFormat="1" ht="39" customHeight="1" x14ac:dyDescent="0.2">
      <c r="A214" s="81" t="s">
        <v>113</v>
      </c>
      <c r="B214" s="45" t="s">
        <v>114</v>
      </c>
      <c r="C214" s="46" t="s">
        <v>64</v>
      </c>
      <c r="D214" s="47" t="s">
        <v>182</v>
      </c>
      <c r="E214" s="48" t="s">
        <v>62</v>
      </c>
      <c r="F214" s="49" t="s">
        <v>183</v>
      </c>
      <c r="G214" s="50">
        <v>1</v>
      </c>
      <c r="H214" s="162" t="s">
        <v>273</v>
      </c>
      <c r="I214" s="163" t="s">
        <v>274</v>
      </c>
      <c r="J214" s="52">
        <v>3</v>
      </c>
      <c r="K214" s="53">
        <v>0</v>
      </c>
      <c r="L214" s="54">
        <f>45899</f>
        <v>45899</v>
      </c>
      <c r="M214" s="54">
        <v>0</v>
      </c>
      <c r="N214" s="53">
        <f>K214+L214-M214</f>
        <v>45899</v>
      </c>
      <c r="O214" s="54">
        <v>0</v>
      </c>
      <c r="P214" s="54">
        <v>0</v>
      </c>
      <c r="Q214" s="54">
        <v>0</v>
      </c>
      <c r="R214" s="53">
        <f>N214-O214+P214+Q214</f>
        <v>45899</v>
      </c>
      <c r="S214" s="54">
        <f>5917.06+16388.62</f>
        <v>22305.68</v>
      </c>
      <c r="T214" s="55">
        <f>S214/R214</f>
        <v>0.48597311488267719</v>
      </c>
      <c r="U214" s="54">
        <f>2816.1+19489.58</f>
        <v>22305.68</v>
      </c>
      <c r="V214" s="55">
        <f>U214/R214</f>
        <v>0.48597311488267719</v>
      </c>
      <c r="W214" s="54">
        <f>2816.1+19489.58</f>
        <v>22305.68</v>
      </c>
      <c r="X214" s="56">
        <f>W214/R214</f>
        <v>0.48597311488267719</v>
      </c>
      <c r="Y214" s="57"/>
    </row>
    <row r="215" spans="1:25" s="41" customFormat="1" ht="9" customHeight="1" x14ac:dyDescent="0.2">
      <c r="A215" s="87"/>
      <c r="B215" s="60"/>
      <c r="C215" s="61"/>
      <c r="D215" s="62"/>
      <c r="E215" s="63"/>
      <c r="F215" s="64"/>
      <c r="G215" s="65"/>
      <c r="H215" s="61"/>
      <c r="I215" s="66"/>
      <c r="J215" s="67"/>
      <c r="K215" s="69"/>
      <c r="L215" s="69"/>
      <c r="M215" s="69"/>
      <c r="N215" s="69"/>
      <c r="O215" s="69"/>
      <c r="P215" s="69"/>
      <c r="Q215" s="69"/>
      <c r="R215" s="69"/>
      <c r="S215" s="69"/>
      <c r="T215" s="70"/>
      <c r="U215" s="69"/>
      <c r="V215" s="70"/>
      <c r="W215" s="69"/>
      <c r="X215" s="71"/>
    </row>
    <row r="216" spans="1:25" s="43" customFormat="1" ht="39" customHeight="1" x14ac:dyDescent="0.2">
      <c r="A216" s="86" t="s">
        <v>113</v>
      </c>
      <c r="B216" s="195" t="s">
        <v>114</v>
      </c>
      <c r="C216" s="196"/>
      <c r="D216" s="73" t="s">
        <v>184</v>
      </c>
      <c r="E216" s="74" t="s">
        <v>62</v>
      </c>
      <c r="F216" s="195" t="s">
        <v>77</v>
      </c>
      <c r="G216" s="197"/>
      <c r="H216" s="197"/>
      <c r="I216" s="197"/>
      <c r="J216" s="196"/>
      <c r="K216" s="75">
        <f>K217</f>
        <v>96563</v>
      </c>
      <c r="L216" s="75">
        <f t="shared" ref="L216:S216" si="117">L217</f>
        <v>0</v>
      </c>
      <c r="M216" s="75">
        <f t="shared" si="117"/>
        <v>0</v>
      </c>
      <c r="N216" s="75">
        <f t="shared" si="117"/>
        <v>96563</v>
      </c>
      <c r="O216" s="75">
        <f t="shared" si="117"/>
        <v>0</v>
      </c>
      <c r="P216" s="75">
        <f t="shared" si="117"/>
        <v>0</v>
      </c>
      <c r="Q216" s="75">
        <f t="shared" si="117"/>
        <v>0</v>
      </c>
      <c r="R216" s="75">
        <f t="shared" si="117"/>
        <v>96563</v>
      </c>
      <c r="S216" s="75">
        <f t="shared" si="117"/>
        <v>2092.58</v>
      </c>
      <c r="T216" s="76">
        <f>S216/R216</f>
        <v>2.1670619181259902E-2</v>
      </c>
      <c r="U216" s="75">
        <f>U217</f>
        <v>2092.58</v>
      </c>
      <c r="V216" s="76">
        <f>U216/R216</f>
        <v>2.1670619181259902E-2</v>
      </c>
      <c r="W216" s="75">
        <f>W217</f>
        <v>2092.58</v>
      </c>
      <c r="X216" s="77">
        <f>W216/R216</f>
        <v>2.1670619181259902E-2</v>
      </c>
      <c r="Y216" s="42"/>
    </row>
    <row r="217" spans="1:25" s="58" customFormat="1" ht="39" customHeight="1" x14ac:dyDescent="0.2">
      <c r="A217" s="81" t="s">
        <v>113</v>
      </c>
      <c r="B217" s="45" t="s">
        <v>114</v>
      </c>
      <c r="C217" s="46" t="s">
        <v>64</v>
      </c>
      <c r="D217" s="47" t="s">
        <v>184</v>
      </c>
      <c r="E217" s="48" t="s">
        <v>62</v>
      </c>
      <c r="F217" s="49" t="s">
        <v>185</v>
      </c>
      <c r="G217" s="50">
        <v>1</v>
      </c>
      <c r="H217" s="46" t="s">
        <v>115</v>
      </c>
      <c r="I217" s="85" t="s">
        <v>116</v>
      </c>
      <c r="J217" s="52">
        <v>3</v>
      </c>
      <c r="K217" s="53">
        <v>96563</v>
      </c>
      <c r="L217" s="54">
        <v>0</v>
      </c>
      <c r="M217" s="54">
        <v>0</v>
      </c>
      <c r="N217" s="53">
        <f>K217+L217-M217</f>
        <v>96563</v>
      </c>
      <c r="O217" s="54">
        <v>0</v>
      </c>
      <c r="P217" s="54">
        <v>0</v>
      </c>
      <c r="Q217" s="54">
        <v>0</v>
      </c>
      <c r="R217" s="53">
        <f>N217-O217+P217+Q217</f>
        <v>96563</v>
      </c>
      <c r="S217" s="54">
        <f>877.12+1215.46</f>
        <v>2092.58</v>
      </c>
      <c r="T217" s="55">
        <f>S217/R217</f>
        <v>2.1670619181259902E-2</v>
      </c>
      <c r="U217" s="54">
        <f>877.12+1215.46</f>
        <v>2092.58</v>
      </c>
      <c r="V217" s="55">
        <f>U217/R217</f>
        <v>2.1670619181259902E-2</v>
      </c>
      <c r="W217" s="54">
        <f>877.12+1215.46</f>
        <v>2092.58</v>
      </c>
      <c r="X217" s="56">
        <f>W217/R217</f>
        <v>2.1670619181259902E-2</v>
      </c>
      <c r="Y217" s="57"/>
    </row>
    <row r="218" spans="1:25" s="41" customFormat="1" ht="9" customHeight="1" x14ac:dyDescent="0.2">
      <c r="A218" s="59"/>
      <c r="B218" s="60"/>
      <c r="C218" s="61"/>
      <c r="D218" s="62"/>
      <c r="E218" s="63"/>
      <c r="F218" s="64"/>
      <c r="G218" s="65"/>
      <c r="H218" s="61"/>
      <c r="I218" s="66"/>
      <c r="J218" s="67"/>
      <c r="K218" s="68"/>
      <c r="L218" s="69"/>
      <c r="M218" s="69"/>
      <c r="N218" s="68"/>
      <c r="O218" s="69"/>
      <c r="P218" s="69"/>
      <c r="Q218" s="69"/>
      <c r="R218" s="68"/>
      <c r="S218" s="69"/>
      <c r="T218" s="70"/>
      <c r="U218" s="69"/>
      <c r="V218" s="70"/>
      <c r="W218" s="69"/>
      <c r="X218" s="71"/>
    </row>
    <row r="219" spans="1:25" s="43" customFormat="1" ht="39" customHeight="1" x14ac:dyDescent="0.2">
      <c r="A219" s="86" t="s">
        <v>113</v>
      </c>
      <c r="B219" s="195" t="s">
        <v>114</v>
      </c>
      <c r="C219" s="196"/>
      <c r="D219" s="73" t="s">
        <v>186</v>
      </c>
      <c r="E219" s="74" t="s">
        <v>62</v>
      </c>
      <c r="F219" s="195" t="s">
        <v>187</v>
      </c>
      <c r="G219" s="197"/>
      <c r="H219" s="197"/>
      <c r="I219" s="197"/>
      <c r="J219" s="196"/>
      <c r="K219" s="75">
        <f>SUM(K220:K221)</f>
        <v>90780</v>
      </c>
      <c r="L219" s="75">
        <f t="shared" ref="L219:S219" si="118">SUM(L220:L221)</f>
        <v>0</v>
      </c>
      <c r="M219" s="75">
        <f t="shared" si="118"/>
        <v>0</v>
      </c>
      <c r="N219" s="75">
        <f t="shared" si="118"/>
        <v>90780</v>
      </c>
      <c r="O219" s="75">
        <f t="shared" si="118"/>
        <v>0</v>
      </c>
      <c r="P219" s="75">
        <f t="shared" si="118"/>
        <v>0</v>
      </c>
      <c r="Q219" s="75">
        <f t="shared" si="118"/>
        <v>0</v>
      </c>
      <c r="R219" s="75">
        <f t="shared" si="118"/>
        <v>90780</v>
      </c>
      <c r="S219" s="75">
        <f t="shared" si="118"/>
        <v>5500</v>
      </c>
      <c r="T219" s="76">
        <f>S219/R219</f>
        <v>6.0586032165675256E-2</v>
      </c>
      <c r="U219" s="75">
        <f>SUM(U220:U221)</f>
        <v>5500</v>
      </c>
      <c r="V219" s="76">
        <f>U219/R219</f>
        <v>6.0586032165675256E-2</v>
      </c>
      <c r="W219" s="75">
        <f>SUM(W220:W221)</f>
        <v>5500</v>
      </c>
      <c r="X219" s="77">
        <f>W219/R219</f>
        <v>6.0586032165675256E-2</v>
      </c>
      <c r="Y219" s="42"/>
    </row>
    <row r="220" spans="1:25" s="58" customFormat="1" ht="39" customHeight="1" x14ac:dyDescent="0.2">
      <c r="A220" s="81" t="s">
        <v>113</v>
      </c>
      <c r="B220" s="45" t="s">
        <v>114</v>
      </c>
      <c r="C220" s="46" t="s">
        <v>64</v>
      </c>
      <c r="D220" s="47" t="s">
        <v>186</v>
      </c>
      <c r="E220" s="48" t="s">
        <v>62</v>
      </c>
      <c r="F220" s="49" t="s">
        <v>187</v>
      </c>
      <c r="G220" s="50">
        <v>1</v>
      </c>
      <c r="H220" s="46" t="s">
        <v>49</v>
      </c>
      <c r="I220" s="51" t="s">
        <v>50</v>
      </c>
      <c r="J220" s="52">
        <v>4</v>
      </c>
      <c r="K220" s="53">
        <v>20000</v>
      </c>
      <c r="L220" s="54">
        <v>0</v>
      </c>
      <c r="M220" s="54">
        <v>0</v>
      </c>
      <c r="N220" s="53">
        <f>K220+L220-M220</f>
        <v>20000</v>
      </c>
      <c r="O220" s="54">
        <v>0</v>
      </c>
      <c r="P220" s="54">
        <v>0</v>
      </c>
      <c r="Q220" s="54">
        <v>0</v>
      </c>
      <c r="R220" s="53">
        <f>N220-O220+P220+Q220</f>
        <v>20000</v>
      </c>
      <c r="S220" s="54">
        <v>0</v>
      </c>
      <c r="T220" s="55">
        <f t="shared" ref="T220:T221" si="119">S220/R220</f>
        <v>0</v>
      </c>
      <c r="U220" s="54">
        <v>0</v>
      </c>
      <c r="V220" s="55">
        <f t="shared" ref="V220:V221" si="120">U220/R220</f>
        <v>0</v>
      </c>
      <c r="W220" s="54">
        <v>0</v>
      </c>
      <c r="X220" s="56">
        <f t="shared" ref="X220:X221" si="121">W220/R220</f>
        <v>0</v>
      </c>
      <c r="Y220" s="57"/>
    </row>
    <row r="221" spans="1:25" s="58" customFormat="1" ht="39" customHeight="1" x14ac:dyDescent="0.2">
      <c r="A221" s="81" t="s">
        <v>113</v>
      </c>
      <c r="B221" s="45" t="s">
        <v>114</v>
      </c>
      <c r="C221" s="46" t="s">
        <v>64</v>
      </c>
      <c r="D221" s="47" t="s">
        <v>186</v>
      </c>
      <c r="E221" s="48" t="s">
        <v>62</v>
      </c>
      <c r="F221" s="49" t="s">
        <v>187</v>
      </c>
      <c r="G221" s="50">
        <v>1</v>
      </c>
      <c r="H221" s="46" t="s">
        <v>115</v>
      </c>
      <c r="I221" s="85" t="s">
        <v>116</v>
      </c>
      <c r="J221" s="52">
        <v>3</v>
      </c>
      <c r="K221" s="53">
        <v>70780</v>
      </c>
      <c r="L221" s="54">
        <v>0</v>
      </c>
      <c r="M221" s="54">
        <v>0</v>
      </c>
      <c r="N221" s="53">
        <f>K221+L221-M221</f>
        <v>70780</v>
      </c>
      <c r="O221" s="54">
        <v>0</v>
      </c>
      <c r="P221" s="54">
        <v>0</v>
      </c>
      <c r="Q221" s="54">
        <v>0</v>
      </c>
      <c r="R221" s="53">
        <f>N221-O221+P221+Q221</f>
        <v>70780</v>
      </c>
      <c r="S221" s="54">
        <f>5500</f>
        <v>5500</v>
      </c>
      <c r="T221" s="55">
        <f t="shared" si="119"/>
        <v>7.7705566544221533E-2</v>
      </c>
      <c r="U221" s="54">
        <f>5500</f>
        <v>5500</v>
      </c>
      <c r="V221" s="55">
        <f t="shared" si="120"/>
        <v>7.7705566544221533E-2</v>
      </c>
      <c r="W221" s="54">
        <f>5500</f>
        <v>5500</v>
      </c>
      <c r="X221" s="56">
        <f t="shared" si="121"/>
        <v>7.7705566544221533E-2</v>
      </c>
      <c r="Y221" s="57"/>
    </row>
    <row r="222" spans="1:25" s="41" customFormat="1" ht="9" customHeight="1" x14ac:dyDescent="0.2">
      <c r="A222" s="87"/>
      <c r="B222" s="60"/>
      <c r="C222" s="61"/>
      <c r="D222" s="62"/>
      <c r="E222" s="63"/>
      <c r="F222" s="64"/>
      <c r="G222" s="65"/>
      <c r="H222" s="61"/>
      <c r="I222" s="66"/>
      <c r="J222" s="67"/>
      <c r="K222" s="69"/>
      <c r="L222" s="69"/>
      <c r="M222" s="69"/>
      <c r="N222" s="69"/>
      <c r="O222" s="69"/>
      <c r="P222" s="69"/>
      <c r="Q222" s="69"/>
      <c r="R222" s="69"/>
      <c r="S222" s="69"/>
      <c r="T222" s="70"/>
      <c r="U222" s="69"/>
      <c r="V222" s="70"/>
      <c r="W222" s="69"/>
      <c r="X222" s="71"/>
    </row>
    <row r="223" spans="1:25" s="43" customFormat="1" ht="39" customHeight="1" x14ac:dyDescent="0.2">
      <c r="A223" s="86" t="s">
        <v>113</v>
      </c>
      <c r="B223" s="195" t="s">
        <v>114</v>
      </c>
      <c r="C223" s="196"/>
      <c r="D223" s="73" t="s">
        <v>188</v>
      </c>
      <c r="E223" s="74" t="s">
        <v>62</v>
      </c>
      <c r="F223" s="195" t="s">
        <v>189</v>
      </c>
      <c r="G223" s="197"/>
      <c r="H223" s="197"/>
      <c r="I223" s="197"/>
      <c r="J223" s="196"/>
      <c r="K223" s="75">
        <f>SUM(K224:K225)</f>
        <v>198000</v>
      </c>
      <c r="L223" s="75">
        <f t="shared" ref="L223:S223" si="122">SUM(L224:L225)</f>
        <v>0</v>
      </c>
      <c r="M223" s="75">
        <f t="shared" si="122"/>
        <v>0</v>
      </c>
      <c r="N223" s="75">
        <f t="shared" si="122"/>
        <v>198000</v>
      </c>
      <c r="O223" s="75">
        <f t="shared" si="122"/>
        <v>0</v>
      </c>
      <c r="P223" s="75">
        <f t="shared" si="122"/>
        <v>0</v>
      </c>
      <c r="Q223" s="75">
        <f t="shared" si="122"/>
        <v>0</v>
      </c>
      <c r="R223" s="75">
        <f t="shared" si="122"/>
        <v>198000</v>
      </c>
      <c r="S223" s="75">
        <f t="shared" si="122"/>
        <v>26975.5</v>
      </c>
      <c r="T223" s="76">
        <f>S223/R223</f>
        <v>0.13623989898989899</v>
      </c>
      <c r="U223" s="75">
        <f>SUM(U224:U225)</f>
        <v>26975.5</v>
      </c>
      <c r="V223" s="76">
        <f>U223/R223</f>
        <v>0.13623989898989899</v>
      </c>
      <c r="W223" s="75">
        <f>SUM(W224:W225)</f>
        <v>26975.5</v>
      </c>
      <c r="X223" s="77">
        <f>W223/R223</f>
        <v>0.13623989898989899</v>
      </c>
      <c r="Y223" s="42"/>
    </row>
    <row r="224" spans="1:25" s="58" customFormat="1" ht="39" customHeight="1" x14ac:dyDescent="0.2">
      <c r="A224" s="81" t="s">
        <v>113</v>
      </c>
      <c r="B224" s="45" t="s">
        <v>114</v>
      </c>
      <c r="C224" s="46" t="s">
        <v>64</v>
      </c>
      <c r="D224" s="47" t="s">
        <v>188</v>
      </c>
      <c r="E224" s="48" t="s">
        <v>62</v>
      </c>
      <c r="F224" s="49" t="s">
        <v>189</v>
      </c>
      <c r="G224" s="50">
        <v>1</v>
      </c>
      <c r="H224" s="46" t="s">
        <v>49</v>
      </c>
      <c r="I224" s="51" t="s">
        <v>50</v>
      </c>
      <c r="J224" s="52">
        <v>4</v>
      </c>
      <c r="K224" s="53">
        <v>26000</v>
      </c>
      <c r="L224" s="54">
        <v>0</v>
      </c>
      <c r="M224" s="54">
        <v>0</v>
      </c>
      <c r="N224" s="53">
        <f>K224+L224-M224</f>
        <v>26000</v>
      </c>
      <c r="O224" s="54">
        <v>0</v>
      </c>
      <c r="P224" s="54">
        <v>0</v>
      </c>
      <c r="Q224" s="54">
        <v>0</v>
      </c>
      <c r="R224" s="53">
        <f>N224-O224+P224+Q224</f>
        <v>26000</v>
      </c>
      <c r="S224" s="54">
        <v>0</v>
      </c>
      <c r="T224" s="55">
        <f t="shared" ref="T224:T225" si="123">S224/R224</f>
        <v>0</v>
      </c>
      <c r="U224" s="54">
        <v>0</v>
      </c>
      <c r="V224" s="55">
        <f t="shared" ref="V224:V225" si="124">U224/R224</f>
        <v>0</v>
      </c>
      <c r="W224" s="54">
        <v>0</v>
      </c>
      <c r="X224" s="56">
        <f t="shared" ref="X224:X225" si="125">W224/R224</f>
        <v>0</v>
      </c>
      <c r="Y224" s="57"/>
    </row>
    <row r="225" spans="1:25" s="58" customFormat="1" ht="39" customHeight="1" x14ac:dyDescent="0.2">
      <c r="A225" s="81" t="s">
        <v>113</v>
      </c>
      <c r="B225" s="45" t="s">
        <v>114</v>
      </c>
      <c r="C225" s="46" t="s">
        <v>64</v>
      </c>
      <c r="D225" s="47" t="s">
        <v>188</v>
      </c>
      <c r="E225" s="48" t="s">
        <v>62</v>
      </c>
      <c r="F225" s="49" t="s">
        <v>189</v>
      </c>
      <c r="G225" s="50">
        <v>1</v>
      </c>
      <c r="H225" s="46" t="s">
        <v>115</v>
      </c>
      <c r="I225" s="85" t="s">
        <v>116</v>
      </c>
      <c r="J225" s="52">
        <v>3</v>
      </c>
      <c r="K225" s="53">
        <v>172000</v>
      </c>
      <c r="L225" s="54">
        <v>0</v>
      </c>
      <c r="M225" s="54">
        <v>0</v>
      </c>
      <c r="N225" s="53">
        <f>K225+L225-M225</f>
        <v>172000</v>
      </c>
      <c r="O225" s="54">
        <v>0</v>
      </c>
      <c r="P225" s="54">
        <v>0</v>
      </c>
      <c r="Q225" s="54">
        <v>0</v>
      </c>
      <c r="R225" s="53">
        <f>N225-O225+P225+Q225</f>
        <v>172000</v>
      </c>
      <c r="S225" s="54">
        <f>4830+11072.75+11072.75</f>
        <v>26975.5</v>
      </c>
      <c r="T225" s="55">
        <f t="shared" si="123"/>
        <v>0.1568343023255814</v>
      </c>
      <c r="U225" s="54">
        <f>4830+11072.75+11072.75</f>
        <v>26975.5</v>
      </c>
      <c r="V225" s="55">
        <f t="shared" si="124"/>
        <v>0.1568343023255814</v>
      </c>
      <c r="W225" s="54">
        <f>4830+22145.5</f>
        <v>26975.5</v>
      </c>
      <c r="X225" s="56">
        <f t="shared" si="125"/>
        <v>0.1568343023255814</v>
      </c>
      <c r="Y225" s="57"/>
    </row>
    <row r="226" spans="1:25" s="41" customFormat="1" ht="9" customHeight="1" x14ac:dyDescent="0.2">
      <c r="A226" s="87"/>
      <c r="B226" s="60"/>
      <c r="C226" s="61"/>
      <c r="D226" s="62"/>
      <c r="E226" s="63"/>
      <c r="F226" s="64"/>
      <c r="G226" s="65"/>
      <c r="H226" s="61"/>
      <c r="I226" s="66"/>
      <c r="J226" s="67"/>
      <c r="K226" s="69"/>
      <c r="L226" s="69"/>
      <c r="M226" s="69"/>
      <c r="N226" s="69"/>
      <c r="O226" s="69"/>
      <c r="P226" s="69"/>
      <c r="Q226" s="69"/>
      <c r="R226" s="69"/>
      <c r="S226" s="69"/>
      <c r="T226" s="70"/>
      <c r="U226" s="69"/>
      <c r="V226" s="70"/>
      <c r="W226" s="69"/>
      <c r="X226" s="71"/>
    </row>
    <row r="227" spans="1:25" s="43" customFormat="1" ht="39" customHeight="1" x14ac:dyDescent="0.2">
      <c r="A227" s="86" t="s">
        <v>113</v>
      </c>
      <c r="B227" s="195" t="s">
        <v>114</v>
      </c>
      <c r="C227" s="196"/>
      <c r="D227" s="73" t="s">
        <v>190</v>
      </c>
      <c r="E227" s="74" t="s">
        <v>47</v>
      </c>
      <c r="F227" s="195" t="s">
        <v>191</v>
      </c>
      <c r="G227" s="197"/>
      <c r="H227" s="197"/>
      <c r="I227" s="197"/>
      <c r="J227" s="196"/>
      <c r="K227" s="75">
        <f>SUM(K228:K236)</f>
        <v>26315461</v>
      </c>
      <c r="L227" s="75">
        <f t="shared" ref="L227:S227" si="126">SUM(L228:L236)</f>
        <v>2186047.88</v>
      </c>
      <c r="M227" s="75">
        <f t="shared" si="126"/>
        <v>0</v>
      </c>
      <c r="N227" s="75">
        <f t="shared" si="126"/>
        <v>28501508.879999999</v>
      </c>
      <c r="O227" s="75">
        <f t="shared" si="126"/>
        <v>0</v>
      </c>
      <c r="P227" s="75">
        <f t="shared" si="126"/>
        <v>0</v>
      </c>
      <c r="Q227" s="75">
        <f t="shared" si="126"/>
        <v>0</v>
      </c>
      <c r="R227" s="75">
        <f t="shared" si="126"/>
        <v>28501508.879999999</v>
      </c>
      <c r="S227" s="75">
        <f t="shared" si="126"/>
        <v>1776573.97</v>
      </c>
      <c r="T227" s="76">
        <f>S227/R227</f>
        <v>6.2332628685727323E-2</v>
      </c>
      <c r="U227" s="75">
        <f>SUM(U228:U236)</f>
        <v>1347849.95</v>
      </c>
      <c r="V227" s="76">
        <f>U227/R227</f>
        <v>4.7290476994563943E-2</v>
      </c>
      <c r="W227" s="75">
        <f>SUM(W228:W236)</f>
        <v>1347849.95</v>
      </c>
      <c r="X227" s="77">
        <f>W227/R227</f>
        <v>4.7290476994563943E-2</v>
      </c>
      <c r="Y227" s="42"/>
    </row>
    <row r="228" spans="1:25" s="58" customFormat="1" ht="39" customHeight="1" x14ac:dyDescent="0.2">
      <c r="A228" s="81" t="s">
        <v>113</v>
      </c>
      <c r="B228" s="45" t="s">
        <v>114</v>
      </c>
      <c r="C228" s="46" t="s">
        <v>192</v>
      </c>
      <c r="D228" s="47" t="s">
        <v>190</v>
      </c>
      <c r="E228" s="48" t="s">
        <v>47</v>
      </c>
      <c r="F228" s="49" t="s">
        <v>193</v>
      </c>
      <c r="G228" s="50">
        <v>1</v>
      </c>
      <c r="H228" s="46" t="s">
        <v>49</v>
      </c>
      <c r="I228" s="51" t="s">
        <v>50</v>
      </c>
      <c r="J228" s="52">
        <v>3</v>
      </c>
      <c r="K228" s="53">
        <v>2318603</v>
      </c>
      <c r="L228" s="54">
        <v>0</v>
      </c>
      <c r="M228" s="54">
        <v>0</v>
      </c>
      <c r="N228" s="53">
        <f>K228+L228-M228</f>
        <v>2318603</v>
      </c>
      <c r="O228" s="54">
        <v>0</v>
      </c>
      <c r="P228" s="54">
        <v>0</v>
      </c>
      <c r="Q228" s="54">
        <v>0</v>
      </c>
      <c r="R228" s="53">
        <f>N228-O228+P228+Q228</f>
        <v>2318603</v>
      </c>
      <c r="S228" s="54">
        <v>0</v>
      </c>
      <c r="T228" s="55">
        <f>S228/R228</f>
        <v>0</v>
      </c>
      <c r="U228" s="54">
        <v>0</v>
      </c>
      <c r="V228" s="55">
        <f>U228/R228</f>
        <v>0</v>
      </c>
      <c r="W228" s="54">
        <v>0</v>
      </c>
      <c r="X228" s="56">
        <f>W228/R228</f>
        <v>0</v>
      </c>
      <c r="Y228" s="57"/>
    </row>
    <row r="229" spans="1:25" s="58" customFormat="1" ht="39" customHeight="1" x14ac:dyDescent="0.2">
      <c r="A229" s="81" t="s">
        <v>113</v>
      </c>
      <c r="B229" s="45" t="s">
        <v>114</v>
      </c>
      <c r="C229" s="46" t="s">
        <v>192</v>
      </c>
      <c r="D229" s="47" t="s">
        <v>190</v>
      </c>
      <c r="E229" s="48" t="s">
        <v>47</v>
      </c>
      <c r="F229" s="49" t="s">
        <v>193</v>
      </c>
      <c r="G229" s="50">
        <v>1</v>
      </c>
      <c r="H229" s="46" t="s">
        <v>49</v>
      </c>
      <c r="I229" s="51" t="s">
        <v>50</v>
      </c>
      <c r="J229" s="52">
        <v>4</v>
      </c>
      <c r="K229" s="53">
        <v>1400000</v>
      </c>
      <c r="L229" s="54">
        <v>0</v>
      </c>
      <c r="M229" s="54">
        <v>0</v>
      </c>
      <c r="N229" s="53">
        <f t="shared" ref="N229:N230" si="127">K229+L229-M229</f>
        <v>1400000</v>
      </c>
      <c r="O229" s="54">
        <v>0</v>
      </c>
      <c r="P229" s="54">
        <v>0</v>
      </c>
      <c r="Q229" s="54">
        <v>0</v>
      </c>
      <c r="R229" s="53">
        <f t="shared" ref="R229:R230" si="128">N229-O229+P229+Q229</f>
        <v>1400000</v>
      </c>
      <c r="S229" s="54">
        <v>0</v>
      </c>
      <c r="T229" s="55">
        <f t="shared" ref="T229:T230" si="129">S229/R229</f>
        <v>0</v>
      </c>
      <c r="U229" s="54">
        <v>0</v>
      </c>
      <c r="V229" s="55">
        <f t="shared" ref="V229:V230" si="130">U229/R229</f>
        <v>0</v>
      </c>
      <c r="W229" s="54">
        <v>0</v>
      </c>
      <c r="X229" s="56">
        <f t="shared" ref="X229:X230" si="131">W229/R229</f>
        <v>0</v>
      </c>
      <c r="Y229" s="57"/>
    </row>
    <row r="230" spans="1:25" s="58" customFormat="1" ht="39" customHeight="1" x14ac:dyDescent="0.2">
      <c r="A230" s="81" t="s">
        <v>113</v>
      </c>
      <c r="B230" s="45" t="s">
        <v>114</v>
      </c>
      <c r="C230" s="46" t="s">
        <v>192</v>
      </c>
      <c r="D230" s="47" t="s">
        <v>190</v>
      </c>
      <c r="E230" s="48" t="s">
        <v>47</v>
      </c>
      <c r="F230" s="49" t="s">
        <v>193</v>
      </c>
      <c r="G230" s="50">
        <v>1</v>
      </c>
      <c r="H230" s="46" t="s">
        <v>65</v>
      </c>
      <c r="I230" s="51" t="s">
        <v>66</v>
      </c>
      <c r="J230" s="52">
        <v>3</v>
      </c>
      <c r="K230" s="53">
        <v>1993188</v>
      </c>
      <c r="L230" s="54">
        <v>0</v>
      </c>
      <c r="M230" s="54">
        <v>0</v>
      </c>
      <c r="N230" s="53">
        <f t="shared" si="127"/>
        <v>1993188</v>
      </c>
      <c r="O230" s="54">
        <v>0</v>
      </c>
      <c r="P230" s="54">
        <v>0</v>
      </c>
      <c r="Q230" s="54">
        <v>0</v>
      </c>
      <c r="R230" s="53">
        <f t="shared" si="128"/>
        <v>1993188</v>
      </c>
      <c r="S230" s="54">
        <v>0</v>
      </c>
      <c r="T230" s="55">
        <f t="shared" si="129"/>
        <v>0</v>
      </c>
      <c r="U230" s="54">
        <v>0</v>
      </c>
      <c r="V230" s="55">
        <f t="shared" si="130"/>
        <v>0</v>
      </c>
      <c r="W230" s="54">
        <v>0</v>
      </c>
      <c r="X230" s="56">
        <f t="shared" si="131"/>
        <v>0</v>
      </c>
      <c r="Y230" s="57"/>
    </row>
    <row r="231" spans="1:25" s="58" customFormat="1" ht="39" customHeight="1" x14ac:dyDescent="0.2">
      <c r="A231" s="81" t="s">
        <v>113</v>
      </c>
      <c r="B231" s="45" t="s">
        <v>114</v>
      </c>
      <c r="C231" s="46" t="s">
        <v>192</v>
      </c>
      <c r="D231" s="47" t="s">
        <v>190</v>
      </c>
      <c r="E231" s="48" t="s">
        <v>47</v>
      </c>
      <c r="F231" s="49" t="s">
        <v>193</v>
      </c>
      <c r="G231" s="50">
        <v>1</v>
      </c>
      <c r="H231" s="46" t="s">
        <v>115</v>
      </c>
      <c r="I231" s="85" t="s">
        <v>116</v>
      </c>
      <c r="J231" s="52">
        <v>3</v>
      </c>
      <c r="K231" s="53">
        <v>19603670</v>
      </c>
      <c r="L231" s="54">
        <v>0</v>
      </c>
      <c r="M231" s="54">
        <v>0</v>
      </c>
      <c r="N231" s="53">
        <f>K231+L231-M231</f>
        <v>19603670</v>
      </c>
      <c r="O231" s="54">
        <v>0</v>
      </c>
      <c r="P231" s="54">
        <v>0</v>
      </c>
      <c r="Q231" s="54">
        <v>0</v>
      </c>
      <c r="R231" s="53">
        <f>N231-O231+P231+Q231</f>
        <v>19603670</v>
      </c>
      <c r="S231" s="54">
        <f>26783.62+1111332.18+229311.47</f>
        <v>1367427.27</v>
      </c>
      <c r="T231" s="55">
        <f>S231/R231</f>
        <v>6.9753636436442765E-2</v>
      </c>
      <c r="U231" s="54">
        <f>26783.62+111543.25+1209376.38</f>
        <v>1347703.25</v>
      </c>
      <c r="V231" s="55">
        <f>U231/R231</f>
        <v>6.8747497279846068E-2</v>
      </c>
      <c r="W231" s="54">
        <f>26783.62+93840.79+1227078.84</f>
        <v>1347703.25</v>
      </c>
      <c r="X231" s="56">
        <f>W231/R231</f>
        <v>6.8747497279846068E-2</v>
      </c>
      <c r="Y231" s="57"/>
    </row>
    <row r="232" spans="1:25" s="58" customFormat="1" ht="39" customHeight="1" x14ac:dyDescent="0.2">
      <c r="A232" s="81" t="s">
        <v>113</v>
      </c>
      <c r="B232" s="45" t="s">
        <v>114</v>
      </c>
      <c r="C232" s="46" t="s">
        <v>192</v>
      </c>
      <c r="D232" s="47" t="s">
        <v>190</v>
      </c>
      <c r="E232" s="48" t="s">
        <v>47</v>
      </c>
      <c r="F232" s="49" t="s">
        <v>193</v>
      </c>
      <c r="G232" s="50">
        <v>1</v>
      </c>
      <c r="H232" s="46" t="s">
        <v>115</v>
      </c>
      <c r="I232" s="85" t="s">
        <v>116</v>
      </c>
      <c r="J232" s="52">
        <v>4</v>
      </c>
      <c r="K232" s="53">
        <v>1000000</v>
      </c>
      <c r="L232" s="54">
        <v>0</v>
      </c>
      <c r="M232" s="54">
        <v>0</v>
      </c>
      <c r="N232" s="53">
        <f>K232+L232-M232</f>
        <v>1000000</v>
      </c>
      <c r="O232" s="54">
        <v>0</v>
      </c>
      <c r="P232" s="54">
        <v>0</v>
      </c>
      <c r="Q232" s="54">
        <v>0</v>
      </c>
      <c r="R232" s="53">
        <f>N232-O232+P232+Q232</f>
        <v>1000000</v>
      </c>
      <c r="S232" s="54">
        <v>0</v>
      </c>
      <c r="T232" s="55">
        <f>S232/R232</f>
        <v>0</v>
      </c>
      <c r="U232" s="54">
        <v>0</v>
      </c>
      <c r="V232" s="55">
        <f>U232/R232</f>
        <v>0</v>
      </c>
      <c r="W232" s="54">
        <v>0</v>
      </c>
      <c r="X232" s="56">
        <f>W232/R232</f>
        <v>0</v>
      </c>
      <c r="Y232" s="57"/>
    </row>
    <row r="233" spans="1:25" s="58" customFormat="1" ht="39" customHeight="1" x14ac:dyDescent="0.2">
      <c r="A233" s="81" t="s">
        <v>113</v>
      </c>
      <c r="B233" s="45" t="s">
        <v>114</v>
      </c>
      <c r="C233" s="46" t="s">
        <v>192</v>
      </c>
      <c r="D233" s="47" t="s">
        <v>190</v>
      </c>
      <c r="E233" s="48" t="s">
        <v>47</v>
      </c>
      <c r="F233" s="49" t="s">
        <v>193</v>
      </c>
      <c r="G233" s="50">
        <v>1</v>
      </c>
      <c r="H233" s="162" t="s">
        <v>271</v>
      </c>
      <c r="I233" s="164" t="s">
        <v>272</v>
      </c>
      <c r="J233" s="52">
        <v>3</v>
      </c>
      <c r="K233" s="53">
        <v>0</v>
      </c>
      <c r="L233" s="54">
        <f>21000</f>
        <v>21000</v>
      </c>
      <c r="M233" s="54">
        <v>0</v>
      </c>
      <c r="N233" s="53">
        <f t="shared" ref="N233:N236" si="132">K233+L233-M233</f>
        <v>21000</v>
      </c>
      <c r="O233" s="54">
        <v>0</v>
      </c>
      <c r="P233" s="54">
        <v>0</v>
      </c>
      <c r="Q233" s="54">
        <v>0</v>
      </c>
      <c r="R233" s="53">
        <f t="shared" ref="R233:R236" si="133">N233-O233+P233+Q233</f>
        <v>21000</v>
      </c>
      <c r="S233" s="54">
        <v>0</v>
      </c>
      <c r="T233" s="55">
        <f t="shared" ref="T233:T236" si="134">S233/R233</f>
        <v>0</v>
      </c>
      <c r="U233" s="54">
        <v>0</v>
      </c>
      <c r="V233" s="55">
        <f t="shared" ref="V233:V236" si="135">U233/R233</f>
        <v>0</v>
      </c>
      <c r="W233" s="54">
        <v>0</v>
      </c>
      <c r="X233" s="56">
        <f t="shared" ref="X233:X236" si="136">W233/R233</f>
        <v>0</v>
      </c>
      <c r="Y233" s="57"/>
    </row>
    <row r="234" spans="1:25" s="58" customFormat="1" ht="39" customHeight="1" x14ac:dyDescent="0.2">
      <c r="A234" s="81" t="s">
        <v>113</v>
      </c>
      <c r="B234" s="45" t="s">
        <v>114</v>
      </c>
      <c r="C234" s="46" t="s">
        <v>192</v>
      </c>
      <c r="D234" s="47" t="s">
        <v>190</v>
      </c>
      <c r="E234" s="48" t="s">
        <v>47</v>
      </c>
      <c r="F234" s="49" t="s">
        <v>193</v>
      </c>
      <c r="G234" s="50">
        <v>1</v>
      </c>
      <c r="H234" s="162" t="s">
        <v>271</v>
      </c>
      <c r="I234" s="164" t="s">
        <v>272</v>
      </c>
      <c r="J234" s="52">
        <v>4</v>
      </c>
      <c r="K234" s="53">
        <v>0</v>
      </c>
      <c r="L234" s="54">
        <f>635585</f>
        <v>635585</v>
      </c>
      <c r="M234" s="54">
        <v>0</v>
      </c>
      <c r="N234" s="53">
        <f t="shared" si="132"/>
        <v>635585</v>
      </c>
      <c r="O234" s="54">
        <v>0</v>
      </c>
      <c r="P234" s="54">
        <v>0</v>
      </c>
      <c r="Q234" s="54">
        <v>0</v>
      </c>
      <c r="R234" s="53">
        <f t="shared" si="133"/>
        <v>635585</v>
      </c>
      <c r="S234" s="54">
        <f>409000</f>
        <v>409000</v>
      </c>
      <c r="T234" s="55">
        <f t="shared" si="134"/>
        <v>0.6435016559547504</v>
      </c>
      <c r="U234" s="54">
        <v>0</v>
      </c>
      <c r="V234" s="55">
        <f t="shared" si="135"/>
        <v>0</v>
      </c>
      <c r="W234" s="54">
        <v>0</v>
      </c>
      <c r="X234" s="56">
        <f t="shared" si="136"/>
        <v>0</v>
      </c>
      <c r="Y234" s="57"/>
    </row>
    <row r="235" spans="1:25" s="58" customFormat="1" ht="39" customHeight="1" x14ac:dyDescent="0.2">
      <c r="A235" s="81" t="s">
        <v>113</v>
      </c>
      <c r="B235" s="45" t="s">
        <v>114</v>
      </c>
      <c r="C235" s="46" t="s">
        <v>192</v>
      </c>
      <c r="D235" s="47" t="s">
        <v>190</v>
      </c>
      <c r="E235" s="48" t="s">
        <v>47</v>
      </c>
      <c r="F235" s="49" t="s">
        <v>193</v>
      </c>
      <c r="G235" s="50">
        <v>1</v>
      </c>
      <c r="H235" s="162" t="s">
        <v>273</v>
      </c>
      <c r="I235" s="163" t="s">
        <v>274</v>
      </c>
      <c r="J235" s="52">
        <v>3</v>
      </c>
      <c r="K235" s="53">
        <v>0</v>
      </c>
      <c r="L235" s="54">
        <f>143465</f>
        <v>143465</v>
      </c>
      <c r="M235" s="54">
        <v>0</v>
      </c>
      <c r="N235" s="53">
        <f t="shared" si="132"/>
        <v>143465</v>
      </c>
      <c r="O235" s="54">
        <v>0</v>
      </c>
      <c r="P235" s="54">
        <v>0</v>
      </c>
      <c r="Q235" s="54">
        <v>0</v>
      </c>
      <c r="R235" s="53">
        <f t="shared" si="133"/>
        <v>143465</v>
      </c>
      <c r="S235" s="54">
        <f>146.7</f>
        <v>146.69999999999999</v>
      </c>
      <c r="T235" s="55">
        <f t="shared" si="134"/>
        <v>1.0225490537761823E-3</v>
      </c>
      <c r="U235" s="54">
        <f>146.7</f>
        <v>146.69999999999999</v>
      </c>
      <c r="V235" s="55">
        <f t="shared" si="135"/>
        <v>1.0225490537761823E-3</v>
      </c>
      <c r="W235" s="54">
        <f>146.7</f>
        <v>146.69999999999999</v>
      </c>
      <c r="X235" s="56">
        <f t="shared" si="136"/>
        <v>1.0225490537761823E-3</v>
      </c>
      <c r="Y235" s="57"/>
    </row>
    <row r="236" spans="1:25" s="58" customFormat="1" ht="39" customHeight="1" x14ac:dyDescent="0.2">
      <c r="A236" s="81" t="s">
        <v>113</v>
      </c>
      <c r="B236" s="45" t="s">
        <v>114</v>
      </c>
      <c r="C236" s="46" t="s">
        <v>192</v>
      </c>
      <c r="D236" s="47" t="s">
        <v>190</v>
      </c>
      <c r="E236" s="48" t="s">
        <v>47</v>
      </c>
      <c r="F236" s="49" t="s">
        <v>193</v>
      </c>
      <c r="G236" s="50">
        <v>1</v>
      </c>
      <c r="H236" s="162" t="s">
        <v>273</v>
      </c>
      <c r="I236" s="163" t="s">
        <v>274</v>
      </c>
      <c r="J236" s="52">
        <v>4</v>
      </c>
      <c r="K236" s="53">
        <v>0</v>
      </c>
      <c r="L236" s="54">
        <f>1385997.88</f>
        <v>1385997.88</v>
      </c>
      <c r="M236" s="54">
        <v>0</v>
      </c>
      <c r="N236" s="53">
        <f t="shared" si="132"/>
        <v>1385997.88</v>
      </c>
      <c r="O236" s="54">
        <v>0</v>
      </c>
      <c r="P236" s="54">
        <v>0</v>
      </c>
      <c r="Q236" s="54">
        <v>0</v>
      </c>
      <c r="R236" s="53">
        <f t="shared" si="133"/>
        <v>1385997.88</v>
      </c>
      <c r="S236" s="54">
        <v>0</v>
      </c>
      <c r="T236" s="55">
        <f t="shared" si="134"/>
        <v>0</v>
      </c>
      <c r="U236" s="54">
        <v>0</v>
      </c>
      <c r="V236" s="55">
        <f t="shared" si="135"/>
        <v>0</v>
      </c>
      <c r="W236" s="54">
        <v>0</v>
      </c>
      <c r="X236" s="56">
        <f t="shared" si="136"/>
        <v>0</v>
      </c>
      <c r="Y236" s="57"/>
    </row>
    <row r="237" spans="1:25" s="41" customFormat="1" ht="9" customHeight="1" x14ac:dyDescent="0.2">
      <c r="A237" s="59"/>
      <c r="B237" s="60"/>
      <c r="C237" s="61"/>
      <c r="D237" s="62"/>
      <c r="E237" s="63"/>
      <c r="F237" s="64"/>
      <c r="G237" s="65"/>
      <c r="H237" s="61"/>
      <c r="I237" s="66"/>
      <c r="J237" s="67"/>
      <c r="K237" s="68"/>
      <c r="L237" s="69"/>
      <c r="M237" s="69"/>
      <c r="N237" s="68"/>
      <c r="O237" s="69"/>
      <c r="P237" s="69"/>
      <c r="Q237" s="69"/>
      <c r="R237" s="68"/>
      <c r="S237" s="69"/>
      <c r="T237" s="70"/>
      <c r="U237" s="69"/>
      <c r="V237" s="70"/>
      <c r="W237" s="69"/>
      <c r="X237" s="71"/>
    </row>
    <row r="238" spans="1:25" s="43" customFormat="1" ht="39" customHeight="1" x14ac:dyDescent="0.2">
      <c r="A238" s="86" t="s">
        <v>113</v>
      </c>
      <c r="B238" s="195" t="s">
        <v>114</v>
      </c>
      <c r="C238" s="196"/>
      <c r="D238" s="73" t="s">
        <v>194</v>
      </c>
      <c r="E238" s="74" t="s">
        <v>47</v>
      </c>
      <c r="F238" s="195" t="s">
        <v>195</v>
      </c>
      <c r="G238" s="197"/>
      <c r="H238" s="197"/>
      <c r="I238" s="197"/>
      <c r="J238" s="196"/>
      <c r="K238" s="75">
        <f>SUM(K239:K243)</f>
        <v>4291159</v>
      </c>
      <c r="L238" s="75">
        <f t="shared" ref="L238:S238" si="137">SUM(L239:L243)</f>
        <v>168000</v>
      </c>
      <c r="M238" s="75">
        <f t="shared" si="137"/>
        <v>0</v>
      </c>
      <c r="N238" s="75">
        <f t="shared" si="137"/>
        <v>4459159</v>
      </c>
      <c r="O238" s="75">
        <f t="shared" si="137"/>
        <v>0</v>
      </c>
      <c r="P238" s="75">
        <f t="shared" si="137"/>
        <v>0</v>
      </c>
      <c r="Q238" s="75">
        <f t="shared" si="137"/>
        <v>0</v>
      </c>
      <c r="R238" s="75">
        <f t="shared" si="137"/>
        <v>4459159</v>
      </c>
      <c r="S238" s="75">
        <f t="shared" si="137"/>
        <v>228612.51</v>
      </c>
      <c r="T238" s="76">
        <f>S238/R238</f>
        <v>5.1268077680118609E-2</v>
      </c>
      <c r="U238" s="75">
        <f>SUM(U239:U243)</f>
        <v>226330.32</v>
      </c>
      <c r="V238" s="76">
        <f>U238/R238</f>
        <v>5.0756279379138534E-2</v>
      </c>
      <c r="W238" s="75">
        <f>SUM(W239:W243)</f>
        <v>226330.32</v>
      </c>
      <c r="X238" s="77">
        <f>W238/R238</f>
        <v>5.0756279379138534E-2</v>
      </c>
      <c r="Y238" s="42"/>
    </row>
    <row r="239" spans="1:25" s="58" customFormat="1" ht="39" customHeight="1" x14ac:dyDescent="0.2">
      <c r="A239" s="81" t="s">
        <v>113</v>
      </c>
      <c r="B239" s="45" t="s">
        <v>114</v>
      </c>
      <c r="C239" s="46" t="s">
        <v>192</v>
      </c>
      <c r="D239" s="47" t="s">
        <v>194</v>
      </c>
      <c r="E239" s="48" t="s">
        <v>47</v>
      </c>
      <c r="F239" s="49" t="s">
        <v>196</v>
      </c>
      <c r="G239" s="50">
        <v>1</v>
      </c>
      <c r="H239" s="46" t="s">
        <v>49</v>
      </c>
      <c r="I239" s="51" t="s">
        <v>50</v>
      </c>
      <c r="J239" s="52">
        <v>4</v>
      </c>
      <c r="K239" s="53">
        <v>300000</v>
      </c>
      <c r="L239" s="54">
        <v>0</v>
      </c>
      <c r="M239" s="54">
        <v>0</v>
      </c>
      <c r="N239" s="53">
        <f>K239+L239-M239</f>
        <v>300000</v>
      </c>
      <c r="O239" s="54">
        <v>0</v>
      </c>
      <c r="P239" s="54">
        <v>0</v>
      </c>
      <c r="Q239" s="54">
        <v>0</v>
      </c>
      <c r="R239" s="53">
        <f>N239-O239+P239+Q239</f>
        <v>300000</v>
      </c>
      <c r="S239" s="54">
        <v>0</v>
      </c>
      <c r="T239" s="55">
        <f>S239/R239</f>
        <v>0</v>
      </c>
      <c r="U239" s="54">
        <v>0</v>
      </c>
      <c r="V239" s="55">
        <f>U239/R239</f>
        <v>0</v>
      </c>
      <c r="W239" s="54">
        <v>0</v>
      </c>
      <c r="X239" s="56">
        <f>W239/R239</f>
        <v>0</v>
      </c>
      <c r="Y239" s="57"/>
    </row>
    <row r="240" spans="1:25" s="58" customFormat="1" ht="39" customHeight="1" x14ac:dyDescent="0.2">
      <c r="A240" s="81" t="s">
        <v>113</v>
      </c>
      <c r="B240" s="45" t="s">
        <v>114</v>
      </c>
      <c r="C240" s="46" t="s">
        <v>192</v>
      </c>
      <c r="D240" s="47" t="s">
        <v>194</v>
      </c>
      <c r="E240" s="48" t="s">
        <v>47</v>
      </c>
      <c r="F240" s="49" t="s">
        <v>196</v>
      </c>
      <c r="G240" s="50">
        <v>1</v>
      </c>
      <c r="H240" s="46" t="s">
        <v>65</v>
      </c>
      <c r="I240" s="51" t="s">
        <v>66</v>
      </c>
      <c r="J240" s="52">
        <v>3</v>
      </c>
      <c r="K240" s="53">
        <v>458004</v>
      </c>
      <c r="L240" s="54">
        <v>0</v>
      </c>
      <c r="M240" s="54">
        <v>0</v>
      </c>
      <c r="N240" s="53">
        <f t="shared" ref="N240:N241" si="138">K240+L240-M240</f>
        <v>458004</v>
      </c>
      <c r="O240" s="54">
        <v>0</v>
      </c>
      <c r="P240" s="54">
        <v>0</v>
      </c>
      <c r="Q240" s="54">
        <v>0</v>
      </c>
      <c r="R240" s="53">
        <f t="shared" ref="R240:R241" si="139">N240-O240+P240+Q240</f>
        <v>458004</v>
      </c>
      <c r="S240" s="54">
        <v>0</v>
      </c>
      <c r="T240" s="55">
        <f t="shared" ref="T240:T241" si="140">S240/R240</f>
        <v>0</v>
      </c>
      <c r="U240" s="54">
        <v>0</v>
      </c>
      <c r="V240" s="55">
        <f t="shared" ref="V240:V241" si="141">U240/R240</f>
        <v>0</v>
      </c>
      <c r="W240" s="54">
        <v>0</v>
      </c>
      <c r="X240" s="56">
        <f t="shared" ref="X240:X241" si="142">W240/R240</f>
        <v>0</v>
      </c>
      <c r="Y240" s="57"/>
    </row>
    <row r="241" spans="1:25" s="58" customFormat="1" ht="39" customHeight="1" x14ac:dyDescent="0.2">
      <c r="A241" s="81" t="s">
        <v>113</v>
      </c>
      <c r="B241" s="45" t="s">
        <v>114</v>
      </c>
      <c r="C241" s="46" t="s">
        <v>192</v>
      </c>
      <c r="D241" s="47" t="s">
        <v>194</v>
      </c>
      <c r="E241" s="48" t="s">
        <v>47</v>
      </c>
      <c r="F241" s="49" t="s">
        <v>196</v>
      </c>
      <c r="G241" s="50">
        <v>1</v>
      </c>
      <c r="H241" s="46" t="s">
        <v>115</v>
      </c>
      <c r="I241" s="85" t="s">
        <v>116</v>
      </c>
      <c r="J241" s="52">
        <v>3</v>
      </c>
      <c r="K241" s="53">
        <v>3233155</v>
      </c>
      <c r="L241" s="54">
        <v>0</v>
      </c>
      <c r="M241" s="54">
        <v>0</v>
      </c>
      <c r="N241" s="53">
        <f t="shared" si="138"/>
        <v>3233155</v>
      </c>
      <c r="O241" s="54">
        <v>0</v>
      </c>
      <c r="P241" s="54">
        <v>0</v>
      </c>
      <c r="Q241" s="54">
        <v>0</v>
      </c>
      <c r="R241" s="53">
        <f t="shared" si="139"/>
        <v>3233155</v>
      </c>
      <c r="S241" s="54">
        <f>137406.05+91206.46</f>
        <v>228612.51</v>
      </c>
      <c r="T241" s="55">
        <f t="shared" si="140"/>
        <v>7.0708799918346013E-2</v>
      </c>
      <c r="U241" s="54">
        <f>5398.63+220931.69</f>
        <v>226330.32</v>
      </c>
      <c r="V241" s="55">
        <f t="shared" si="141"/>
        <v>7.0002929027528846E-2</v>
      </c>
      <c r="W241" s="54">
        <f>226330.32</f>
        <v>226330.32</v>
      </c>
      <c r="X241" s="56">
        <f t="shared" si="142"/>
        <v>7.0002929027528846E-2</v>
      </c>
      <c r="Y241" s="57"/>
    </row>
    <row r="242" spans="1:25" s="58" customFormat="1" ht="39" customHeight="1" x14ac:dyDescent="0.2">
      <c r="A242" s="81" t="s">
        <v>113</v>
      </c>
      <c r="B242" s="45" t="s">
        <v>114</v>
      </c>
      <c r="C242" s="46" t="s">
        <v>192</v>
      </c>
      <c r="D242" s="47" t="s">
        <v>194</v>
      </c>
      <c r="E242" s="48" t="s">
        <v>47</v>
      </c>
      <c r="F242" s="49" t="s">
        <v>196</v>
      </c>
      <c r="G242" s="50">
        <v>1</v>
      </c>
      <c r="H242" s="46" t="s">
        <v>115</v>
      </c>
      <c r="I242" s="85" t="s">
        <v>116</v>
      </c>
      <c r="J242" s="52">
        <v>4</v>
      </c>
      <c r="K242" s="53">
        <v>300000</v>
      </c>
      <c r="L242" s="54">
        <v>0</v>
      </c>
      <c r="M242" s="54">
        <v>0</v>
      </c>
      <c r="N242" s="53">
        <f>K242+L242-M242</f>
        <v>300000</v>
      </c>
      <c r="O242" s="54">
        <v>0</v>
      </c>
      <c r="P242" s="54">
        <v>0</v>
      </c>
      <c r="Q242" s="54">
        <v>0</v>
      </c>
      <c r="R242" s="53">
        <f>N242-O242+P242+Q242</f>
        <v>300000</v>
      </c>
      <c r="S242" s="54">
        <v>0</v>
      </c>
      <c r="T242" s="55">
        <f>S242/R242</f>
        <v>0</v>
      </c>
      <c r="U242" s="54">
        <v>0</v>
      </c>
      <c r="V242" s="55">
        <f>U242/R242</f>
        <v>0</v>
      </c>
      <c r="W242" s="54">
        <v>0</v>
      </c>
      <c r="X242" s="56">
        <f>W242/R242</f>
        <v>0</v>
      </c>
      <c r="Y242" s="57"/>
    </row>
    <row r="243" spans="1:25" s="58" customFormat="1" ht="39" customHeight="1" x14ac:dyDescent="0.2">
      <c r="A243" s="81" t="s">
        <v>113</v>
      </c>
      <c r="B243" s="45" t="s">
        <v>114</v>
      </c>
      <c r="C243" s="46" t="s">
        <v>192</v>
      </c>
      <c r="D243" s="47" t="s">
        <v>194</v>
      </c>
      <c r="E243" s="48" t="s">
        <v>47</v>
      </c>
      <c r="F243" s="49" t="s">
        <v>196</v>
      </c>
      <c r="G243" s="50">
        <v>1</v>
      </c>
      <c r="H243" s="162" t="s">
        <v>273</v>
      </c>
      <c r="I243" s="163" t="s">
        <v>274</v>
      </c>
      <c r="J243" s="52">
        <v>4</v>
      </c>
      <c r="K243" s="53">
        <v>0</v>
      </c>
      <c r="L243" s="54">
        <f>168000</f>
        <v>168000</v>
      </c>
      <c r="M243" s="54">
        <v>0</v>
      </c>
      <c r="N243" s="53">
        <f>K243+L243-M243</f>
        <v>168000</v>
      </c>
      <c r="O243" s="54">
        <v>0</v>
      </c>
      <c r="P243" s="54">
        <v>0</v>
      </c>
      <c r="Q243" s="54">
        <v>0</v>
      </c>
      <c r="R243" s="53">
        <f>N243-O243+P243+Q243</f>
        <v>168000</v>
      </c>
      <c r="S243" s="54">
        <v>0</v>
      </c>
      <c r="T243" s="55">
        <f>S243/R243</f>
        <v>0</v>
      </c>
      <c r="U243" s="54">
        <v>0</v>
      </c>
      <c r="V243" s="55">
        <f>U243/R243</f>
        <v>0</v>
      </c>
      <c r="W243" s="54">
        <v>0</v>
      </c>
      <c r="X243" s="56">
        <f>W243/R243</f>
        <v>0</v>
      </c>
      <c r="Y243" s="57"/>
    </row>
    <row r="244" spans="1:25" s="41" customFormat="1" ht="9" customHeight="1" x14ac:dyDescent="0.2">
      <c r="A244" s="59"/>
      <c r="B244" s="60"/>
      <c r="C244" s="61"/>
      <c r="D244" s="62"/>
      <c r="E244" s="63"/>
      <c r="F244" s="64"/>
      <c r="G244" s="65"/>
      <c r="H244" s="61"/>
      <c r="I244" s="66"/>
      <c r="J244" s="67"/>
      <c r="K244" s="68"/>
      <c r="L244" s="69"/>
      <c r="M244" s="69"/>
      <c r="N244" s="68"/>
      <c r="O244" s="69"/>
      <c r="P244" s="69"/>
      <c r="Q244" s="69"/>
      <c r="R244" s="68"/>
      <c r="S244" s="69"/>
      <c r="T244" s="70"/>
      <c r="U244" s="69"/>
      <c r="V244" s="70"/>
      <c r="W244" s="69"/>
      <c r="X244" s="71"/>
    </row>
    <row r="245" spans="1:25" s="43" customFormat="1" ht="39" customHeight="1" x14ac:dyDescent="0.2">
      <c r="A245" s="86" t="s">
        <v>113</v>
      </c>
      <c r="B245" s="195" t="s">
        <v>114</v>
      </c>
      <c r="C245" s="196"/>
      <c r="D245" s="73" t="s">
        <v>197</v>
      </c>
      <c r="E245" s="74" t="s">
        <v>47</v>
      </c>
      <c r="F245" s="195" t="s">
        <v>198</v>
      </c>
      <c r="G245" s="197"/>
      <c r="H245" s="197"/>
      <c r="I245" s="197"/>
      <c r="J245" s="196"/>
      <c r="K245" s="75">
        <f>SUM(K246:K250)</f>
        <v>10052181</v>
      </c>
      <c r="L245" s="75">
        <f t="shared" ref="L245:S245" si="143">SUM(L246:L250)</f>
        <v>894000</v>
      </c>
      <c r="M245" s="75">
        <f t="shared" si="143"/>
        <v>0</v>
      </c>
      <c r="N245" s="75">
        <f t="shared" si="143"/>
        <v>10946181</v>
      </c>
      <c r="O245" s="75">
        <f t="shared" si="143"/>
        <v>0</v>
      </c>
      <c r="P245" s="75">
        <f t="shared" si="143"/>
        <v>0</v>
      </c>
      <c r="Q245" s="75">
        <f t="shared" si="143"/>
        <v>0</v>
      </c>
      <c r="R245" s="75">
        <f t="shared" si="143"/>
        <v>10946181</v>
      </c>
      <c r="S245" s="75">
        <f t="shared" si="143"/>
        <v>612858.68999999994</v>
      </c>
      <c r="T245" s="76">
        <f>S245/R245</f>
        <v>5.5988357035207069E-2</v>
      </c>
      <c r="U245" s="75">
        <f>SUM(U246:U250)</f>
        <v>606265.67000000004</v>
      </c>
      <c r="V245" s="76">
        <f>U245/R245</f>
        <v>5.5386044685356475E-2</v>
      </c>
      <c r="W245" s="75">
        <f>SUM(W246:W250)</f>
        <v>606265.67000000004</v>
      </c>
      <c r="X245" s="77">
        <f>W245/R245</f>
        <v>5.5386044685356475E-2</v>
      </c>
      <c r="Y245" s="42"/>
    </row>
    <row r="246" spans="1:25" s="58" customFormat="1" ht="39" customHeight="1" x14ac:dyDescent="0.2">
      <c r="A246" s="81" t="s">
        <v>113</v>
      </c>
      <c r="B246" s="45" t="s">
        <v>114</v>
      </c>
      <c r="C246" s="46" t="s">
        <v>192</v>
      </c>
      <c r="D246" s="47" t="s">
        <v>197</v>
      </c>
      <c r="E246" s="48" t="s">
        <v>47</v>
      </c>
      <c r="F246" s="49" t="s">
        <v>199</v>
      </c>
      <c r="G246" s="50">
        <v>1</v>
      </c>
      <c r="H246" s="46" t="s">
        <v>49</v>
      </c>
      <c r="I246" s="51" t="s">
        <v>50</v>
      </c>
      <c r="J246" s="52">
        <v>4</v>
      </c>
      <c r="K246" s="53">
        <v>326850</v>
      </c>
      <c r="L246" s="54">
        <v>0</v>
      </c>
      <c r="M246" s="54">
        <v>0</v>
      </c>
      <c r="N246" s="53">
        <f>K246+L246-M246</f>
        <v>326850</v>
      </c>
      <c r="O246" s="54">
        <v>0</v>
      </c>
      <c r="P246" s="54">
        <v>0</v>
      </c>
      <c r="Q246" s="54">
        <v>0</v>
      </c>
      <c r="R246" s="53">
        <f>N246-O246+P246+Q246</f>
        <v>326850</v>
      </c>
      <c r="S246" s="54">
        <v>0</v>
      </c>
      <c r="T246" s="55">
        <f>S246/R246</f>
        <v>0</v>
      </c>
      <c r="U246" s="54">
        <v>0</v>
      </c>
      <c r="V246" s="55">
        <f>U246/R246</f>
        <v>0</v>
      </c>
      <c r="W246" s="54">
        <v>0</v>
      </c>
      <c r="X246" s="56">
        <f>W246/R246</f>
        <v>0</v>
      </c>
      <c r="Y246" s="57"/>
    </row>
    <row r="247" spans="1:25" s="58" customFormat="1" ht="39" customHeight="1" x14ac:dyDescent="0.2">
      <c r="A247" s="81" t="s">
        <v>113</v>
      </c>
      <c r="B247" s="45" t="s">
        <v>114</v>
      </c>
      <c r="C247" s="46" t="s">
        <v>192</v>
      </c>
      <c r="D247" s="47" t="s">
        <v>197</v>
      </c>
      <c r="E247" s="48" t="s">
        <v>47</v>
      </c>
      <c r="F247" s="49" t="s">
        <v>199</v>
      </c>
      <c r="G247" s="50">
        <v>1</v>
      </c>
      <c r="H247" s="46" t="s">
        <v>65</v>
      </c>
      <c r="I247" s="51" t="s">
        <v>66</v>
      </c>
      <c r="J247" s="52">
        <v>3</v>
      </c>
      <c r="K247" s="53">
        <v>1323124</v>
      </c>
      <c r="L247" s="54">
        <v>0</v>
      </c>
      <c r="M247" s="54">
        <v>0</v>
      </c>
      <c r="N247" s="53">
        <f t="shared" ref="N247:N248" si="144">K247+L247-M247</f>
        <v>1323124</v>
      </c>
      <c r="O247" s="54">
        <v>0</v>
      </c>
      <c r="P247" s="54">
        <v>0</v>
      </c>
      <c r="Q247" s="54">
        <v>0</v>
      </c>
      <c r="R247" s="53">
        <f t="shared" ref="R247:R248" si="145">N247-O247+P247+Q247</f>
        <v>1323124</v>
      </c>
      <c r="S247" s="54">
        <v>0</v>
      </c>
      <c r="T247" s="55">
        <f t="shared" ref="T247:T248" si="146">S247/R247</f>
        <v>0</v>
      </c>
      <c r="U247" s="54">
        <v>0</v>
      </c>
      <c r="V247" s="55">
        <f t="shared" ref="V247:V248" si="147">U247/R247</f>
        <v>0</v>
      </c>
      <c r="W247" s="54">
        <v>0</v>
      </c>
      <c r="X247" s="56">
        <f t="shared" ref="X247:X248" si="148">W247/R247</f>
        <v>0</v>
      </c>
      <c r="Y247" s="57"/>
    </row>
    <row r="248" spans="1:25" s="58" customFormat="1" ht="39" customHeight="1" x14ac:dyDescent="0.2">
      <c r="A248" s="81" t="s">
        <v>113</v>
      </c>
      <c r="B248" s="45" t="s">
        <v>114</v>
      </c>
      <c r="C248" s="46" t="s">
        <v>192</v>
      </c>
      <c r="D248" s="47" t="s">
        <v>197</v>
      </c>
      <c r="E248" s="48" t="s">
        <v>47</v>
      </c>
      <c r="F248" s="49" t="s">
        <v>199</v>
      </c>
      <c r="G248" s="50">
        <v>1</v>
      </c>
      <c r="H248" s="46" t="s">
        <v>115</v>
      </c>
      <c r="I248" s="85" t="s">
        <v>116</v>
      </c>
      <c r="J248" s="52">
        <v>3</v>
      </c>
      <c r="K248" s="53">
        <v>8002207</v>
      </c>
      <c r="L248" s="54">
        <v>0</v>
      </c>
      <c r="M248" s="54">
        <v>0</v>
      </c>
      <c r="N248" s="53">
        <f t="shared" si="144"/>
        <v>8002207</v>
      </c>
      <c r="O248" s="54">
        <v>0</v>
      </c>
      <c r="P248" s="54">
        <v>0</v>
      </c>
      <c r="Q248" s="54">
        <v>0</v>
      </c>
      <c r="R248" s="53">
        <f t="shared" si="145"/>
        <v>8002207</v>
      </c>
      <c r="S248" s="54">
        <f>426415.83+186442.86</f>
        <v>612858.68999999994</v>
      </c>
      <c r="T248" s="55">
        <f t="shared" si="146"/>
        <v>7.6586208029859756E-2</v>
      </c>
      <c r="U248" s="54">
        <f>56283.37+549982.3</f>
        <v>606265.67000000004</v>
      </c>
      <c r="V248" s="55">
        <f t="shared" si="147"/>
        <v>7.5762307823329239E-2</v>
      </c>
      <c r="W248" s="54">
        <f>51154.67+555111</f>
        <v>606265.67000000004</v>
      </c>
      <c r="X248" s="56">
        <f t="shared" si="148"/>
        <v>7.5762307823329239E-2</v>
      </c>
      <c r="Y248" s="57"/>
    </row>
    <row r="249" spans="1:25" s="58" customFormat="1" ht="39" customHeight="1" x14ac:dyDescent="0.2">
      <c r="A249" s="81" t="s">
        <v>113</v>
      </c>
      <c r="B249" s="45" t="s">
        <v>114</v>
      </c>
      <c r="C249" s="46" t="s">
        <v>192</v>
      </c>
      <c r="D249" s="47" t="s">
        <v>197</v>
      </c>
      <c r="E249" s="48" t="s">
        <v>47</v>
      </c>
      <c r="F249" s="49" t="s">
        <v>199</v>
      </c>
      <c r="G249" s="50">
        <v>1</v>
      </c>
      <c r="H249" s="46" t="s">
        <v>115</v>
      </c>
      <c r="I249" s="85" t="s">
        <v>116</v>
      </c>
      <c r="J249" s="52">
        <v>4</v>
      </c>
      <c r="K249" s="53">
        <v>400000</v>
      </c>
      <c r="L249" s="54">
        <v>0</v>
      </c>
      <c r="M249" s="54">
        <v>0</v>
      </c>
      <c r="N249" s="53">
        <f>K249+L249-M249</f>
        <v>400000</v>
      </c>
      <c r="O249" s="54">
        <v>0</v>
      </c>
      <c r="P249" s="54">
        <v>0</v>
      </c>
      <c r="Q249" s="54">
        <v>0</v>
      </c>
      <c r="R249" s="53">
        <f>N249-O249+P249+Q249</f>
        <v>400000</v>
      </c>
      <c r="S249" s="54">
        <v>0</v>
      </c>
      <c r="T249" s="55">
        <f>S249/R249</f>
        <v>0</v>
      </c>
      <c r="U249" s="54">
        <v>0</v>
      </c>
      <c r="V249" s="55">
        <f>U249/R249</f>
        <v>0</v>
      </c>
      <c r="W249" s="54">
        <v>0</v>
      </c>
      <c r="X249" s="56">
        <f>W249/R249</f>
        <v>0</v>
      </c>
      <c r="Y249" s="57"/>
    </row>
    <row r="250" spans="1:25" s="58" customFormat="1" ht="39" customHeight="1" x14ac:dyDescent="0.2">
      <c r="A250" s="81" t="s">
        <v>113</v>
      </c>
      <c r="B250" s="45" t="s">
        <v>114</v>
      </c>
      <c r="C250" s="46" t="s">
        <v>192</v>
      </c>
      <c r="D250" s="47" t="s">
        <v>197</v>
      </c>
      <c r="E250" s="48" t="s">
        <v>47</v>
      </c>
      <c r="F250" s="49" t="s">
        <v>199</v>
      </c>
      <c r="G250" s="50">
        <v>1</v>
      </c>
      <c r="H250" s="162" t="s">
        <v>273</v>
      </c>
      <c r="I250" s="163" t="s">
        <v>274</v>
      </c>
      <c r="J250" s="52">
        <v>4</v>
      </c>
      <c r="K250" s="53">
        <v>0</v>
      </c>
      <c r="L250" s="54">
        <f>894000</f>
        <v>894000</v>
      </c>
      <c r="M250" s="54">
        <v>0</v>
      </c>
      <c r="N250" s="53">
        <f>K250+L250-M250</f>
        <v>894000</v>
      </c>
      <c r="O250" s="54">
        <v>0</v>
      </c>
      <c r="P250" s="54">
        <v>0</v>
      </c>
      <c r="Q250" s="54">
        <v>0</v>
      </c>
      <c r="R250" s="53">
        <f>N250-O250+P250+Q250</f>
        <v>894000</v>
      </c>
      <c r="S250" s="54">
        <v>0</v>
      </c>
      <c r="T250" s="55">
        <f>S250/R250</f>
        <v>0</v>
      </c>
      <c r="U250" s="54">
        <v>0</v>
      </c>
      <c r="V250" s="55">
        <f>U250/R250</f>
        <v>0</v>
      </c>
      <c r="W250" s="54">
        <v>0</v>
      </c>
      <c r="X250" s="56">
        <f>W250/R250</f>
        <v>0</v>
      </c>
      <c r="Y250" s="57"/>
    </row>
    <row r="251" spans="1:25" s="41" customFormat="1" ht="9" customHeight="1" x14ac:dyDescent="0.2">
      <c r="A251" s="59"/>
      <c r="B251" s="60"/>
      <c r="C251" s="61"/>
      <c r="D251" s="62"/>
      <c r="E251" s="63"/>
      <c r="F251" s="64"/>
      <c r="G251" s="65"/>
      <c r="H251" s="61"/>
      <c r="I251" s="66"/>
      <c r="J251" s="67"/>
      <c r="K251" s="68"/>
      <c r="L251" s="69"/>
      <c r="M251" s="69"/>
      <c r="N251" s="68"/>
      <c r="O251" s="69"/>
      <c r="P251" s="69"/>
      <c r="Q251" s="69"/>
      <c r="R251" s="68"/>
      <c r="S251" s="69"/>
      <c r="T251" s="70"/>
      <c r="U251" s="69"/>
      <c r="V251" s="70"/>
      <c r="W251" s="69"/>
      <c r="X251" s="71"/>
    </row>
    <row r="252" spans="1:25" s="43" customFormat="1" ht="39" customHeight="1" x14ac:dyDescent="0.2">
      <c r="A252" s="86" t="s">
        <v>113</v>
      </c>
      <c r="B252" s="195" t="s">
        <v>114</v>
      </c>
      <c r="C252" s="196"/>
      <c r="D252" s="73" t="s">
        <v>267</v>
      </c>
      <c r="E252" s="74" t="s">
        <v>47</v>
      </c>
      <c r="F252" s="195" t="s">
        <v>268</v>
      </c>
      <c r="G252" s="197"/>
      <c r="H252" s="197"/>
      <c r="I252" s="197"/>
      <c r="J252" s="196"/>
      <c r="K252" s="75">
        <f>SUM(K253:K254)</f>
        <v>970000</v>
      </c>
      <c r="L252" s="75">
        <f t="shared" ref="L252:W252" si="149">SUM(L253:L254)</f>
        <v>43488</v>
      </c>
      <c r="M252" s="75">
        <f t="shared" si="149"/>
        <v>0</v>
      </c>
      <c r="N252" s="75">
        <f t="shared" si="149"/>
        <v>1013488</v>
      </c>
      <c r="O252" s="75">
        <f t="shared" si="149"/>
        <v>0</v>
      </c>
      <c r="P252" s="75">
        <f t="shared" si="149"/>
        <v>0</v>
      </c>
      <c r="Q252" s="75">
        <f t="shared" si="149"/>
        <v>0</v>
      </c>
      <c r="R252" s="75">
        <f t="shared" si="149"/>
        <v>1013488</v>
      </c>
      <c r="S252" s="75">
        <f t="shared" si="149"/>
        <v>0</v>
      </c>
      <c r="T252" s="76">
        <f>S252/R252</f>
        <v>0</v>
      </c>
      <c r="U252" s="75">
        <f t="shared" si="149"/>
        <v>0</v>
      </c>
      <c r="V252" s="76">
        <f>U252/R252</f>
        <v>0</v>
      </c>
      <c r="W252" s="75">
        <f t="shared" si="149"/>
        <v>0</v>
      </c>
      <c r="X252" s="77">
        <f>W252/R252</f>
        <v>0</v>
      </c>
      <c r="Y252" s="42"/>
    </row>
    <row r="253" spans="1:25" s="58" customFormat="1" ht="39" customHeight="1" x14ac:dyDescent="0.2">
      <c r="A253" s="81" t="s">
        <v>113</v>
      </c>
      <c r="B253" s="45" t="s">
        <v>114</v>
      </c>
      <c r="C253" s="46" t="s">
        <v>200</v>
      </c>
      <c r="D253" s="47" t="s">
        <v>267</v>
      </c>
      <c r="E253" s="48" t="s">
        <v>47</v>
      </c>
      <c r="F253" s="49" t="s">
        <v>268</v>
      </c>
      <c r="G253" s="50">
        <v>1</v>
      </c>
      <c r="H253" s="46" t="s">
        <v>115</v>
      </c>
      <c r="I253" s="85" t="s">
        <v>116</v>
      </c>
      <c r="J253" s="52">
        <v>3</v>
      </c>
      <c r="K253" s="53">
        <v>970000</v>
      </c>
      <c r="L253" s="54">
        <v>0</v>
      </c>
      <c r="M253" s="54">
        <v>0</v>
      </c>
      <c r="N253" s="53">
        <f>K253+L253-M253</f>
        <v>970000</v>
      </c>
      <c r="O253" s="54">
        <v>0</v>
      </c>
      <c r="P253" s="54">
        <v>0</v>
      </c>
      <c r="Q253" s="54">
        <v>0</v>
      </c>
      <c r="R253" s="53">
        <f>N253-O253+P253+Q253</f>
        <v>970000</v>
      </c>
      <c r="S253" s="54">
        <v>0</v>
      </c>
      <c r="T253" s="55">
        <f>S253/R253</f>
        <v>0</v>
      </c>
      <c r="U253" s="54">
        <v>0</v>
      </c>
      <c r="V253" s="55">
        <f>U253/R253</f>
        <v>0</v>
      </c>
      <c r="W253" s="54">
        <v>0</v>
      </c>
      <c r="X253" s="56">
        <f>W253/R253</f>
        <v>0</v>
      </c>
      <c r="Y253" s="57"/>
    </row>
    <row r="254" spans="1:25" s="58" customFormat="1" ht="39" customHeight="1" x14ac:dyDescent="0.2">
      <c r="A254" s="81" t="s">
        <v>113</v>
      </c>
      <c r="B254" s="45" t="s">
        <v>114</v>
      </c>
      <c r="C254" s="46" t="s">
        <v>200</v>
      </c>
      <c r="D254" s="47" t="s">
        <v>267</v>
      </c>
      <c r="E254" s="48" t="s">
        <v>47</v>
      </c>
      <c r="F254" s="49" t="s">
        <v>268</v>
      </c>
      <c r="G254" s="50">
        <v>1</v>
      </c>
      <c r="H254" s="162" t="s">
        <v>273</v>
      </c>
      <c r="I254" s="163" t="s">
        <v>274</v>
      </c>
      <c r="J254" s="52">
        <v>3</v>
      </c>
      <c r="K254" s="53">
        <v>0</v>
      </c>
      <c r="L254" s="54">
        <f>43488</f>
        <v>43488</v>
      </c>
      <c r="M254" s="54">
        <v>0</v>
      </c>
      <c r="N254" s="53">
        <f>K254+L254-M254</f>
        <v>43488</v>
      </c>
      <c r="O254" s="54">
        <v>0</v>
      </c>
      <c r="P254" s="54">
        <v>0</v>
      </c>
      <c r="Q254" s="54">
        <v>0</v>
      </c>
      <c r="R254" s="53">
        <f>N254-O254+P254+Q254</f>
        <v>43488</v>
      </c>
      <c r="S254" s="54">
        <v>0</v>
      </c>
      <c r="T254" s="55">
        <f>S254/R254</f>
        <v>0</v>
      </c>
      <c r="U254" s="54">
        <v>0</v>
      </c>
      <c r="V254" s="55">
        <f>U254/R254</f>
        <v>0</v>
      </c>
      <c r="W254" s="54">
        <v>0</v>
      </c>
      <c r="X254" s="56">
        <f>W254/R254</f>
        <v>0</v>
      </c>
      <c r="Y254" s="57"/>
    </row>
    <row r="255" spans="1:25" s="41" customFormat="1" ht="9" customHeight="1" x14ac:dyDescent="0.2">
      <c r="A255" s="87"/>
      <c r="B255" s="60"/>
      <c r="C255" s="61"/>
      <c r="D255" s="62"/>
      <c r="E255" s="63"/>
      <c r="F255" s="64"/>
      <c r="G255" s="65"/>
      <c r="H255" s="61"/>
      <c r="I255" s="66"/>
      <c r="J255" s="67"/>
      <c r="K255" s="68"/>
      <c r="L255" s="69"/>
      <c r="M255" s="69"/>
      <c r="N255" s="68"/>
      <c r="O255" s="69"/>
      <c r="P255" s="69"/>
      <c r="Q255" s="69"/>
      <c r="R255" s="68"/>
      <c r="S255" s="69"/>
      <c r="T255" s="70"/>
      <c r="U255" s="69"/>
      <c r="V255" s="70"/>
      <c r="W255" s="69"/>
      <c r="X255" s="71"/>
    </row>
    <row r="256" spans="1:25" s="43" customFormat="1" ht="39" customHeight="1" x14ac:dyDescent="0.2">
      <c r="A256" s="86" t="s">
        <v>113</v>
      </c>
      <c r="B256" s="195" t="s">
        <v>114</v>
      </c>
      <c r="C256" s="196"/>
      <c r="D256" s="73" t="s">
        <v>201</v>
      </c>
      <c r="E256" s="74" t="s">
        <v>47</v>
      </c>
      <c r="F256" s="195" t="s">
        <v>202</v>
      </c>
      <c r="G256" s="197"/>
      <c r="H256" s="197"/>
      <c r="I256" s="197"/>
      <c r="J256" s="196"/>
      <c r="K256" s="75">
        <f t="shared" ref="K256:S256" si="150">K257</f>
        <v>11880</v>
      </c>
      <c r="L256" s="75">
        <f t="shared" si="150"/>
        <v>0</v>
      </c>
      <c r="M256" s="75">
        <f t="shared" si="150"/>
        <v>0</v>
      </c>
      <c r="N256" s="75">
        <f t="shared" si="150"/>
        <v>11880</v>
      </c>
      <c r="O256" s="75">
        <f t="shared" si="150"/>
        <v>0</v>
      </c>
      <c r="P256" s="75">
        <f t="shared" si="150"/>
        <v>0</v>
      </c>
      <c r="Q256" s="75">
        <f t="shared" si="150"/>
        <v>0</v>
      </c>
      <c r="R256" s="75">
        <f t="shared" si="150"/>
        <v>11880</v>
      </c>
      <c r="S256" s="75">
        <f t="shared" si="150"/>
        <v>0</v>
      </c>
      <c r="T256" s="76">
        <f>S256/R256</f>
        <v>0</v>
      </c>
      <c r="U256" s="75">
        <f>U257</f>
        <v>0</v>
      </c>
      <c r="V256" s="76">
        <f>U256/R256</f>
        <v>0</v>
      </c>
      <c r="W256" s="75">
        <f>W257</f>
        <v>0</v>
      </c>
      <c r="X256" s="77">
        <f>W256/R256</f>
        <v>0</v>
      </c>
      <c r="Y256" s="42"/>
    </row>
    <row r="257" spans="1:25" s="58" customFormat="1" ht="39" customHeight="1" x14ac:dyDescent="0.2">
      <c r="A257" s="81" t="s">
        <v>113</v>
      </c>
      <c r="B257" s="45" t="s">
        <v>114</v>
      </c>
      <c r="C257" s="46" t="s">
        <v>200</v>
      </c>
      <c r="D257" s="47" t="s">
        <v>201</v>
      </c>
      <c r="E257" s="48" t="s">
        <v>47</v>
      </c>
      <c r="F257" s="49" t="s">
        <v>202</v>
      </c>
      <c r="G257" s="50">
        <v>1</v>
      </c>
      <c r="H257" s="46" t="s">
        <v>115</v>
      </c>
      <c r="I257" s="85" t="s">
        <v>116</v>
      </c>
      <c r="J257" s="52">
        <v>3</v>
      </c>
      <c r="K257" s="53">
        <v>11880</v>
      </c>
      <c r="L257" s="54">
        <v>0</v>
      </c>
      <c r="M257" s="54">
        <v>0</v>
      </c>
      <c r="N257" s="53">
        <f>K257+L257-M257</f>
        <v>11880</v>
      </c>
      <c r="O257" s="54">
        <v>0</v>
      </c>
      <c r="P257" s="54">
        <v>0</v>
      </c>
      <c r="Q257" s="54">
        <v>0</v>
      </c>
      <c r="R257" s="53">
        <f>N257-O257+P257+Q257</f>
        <v>11880</v>
      </c>
      <c r="S257" s="54">
        <v>0</v>
      </c>
      <c r="T257" s="55">
        <f>S257/R257</f>
        <v>0</v>
      </c>
      <c r="U257" s="54">
        <v>0</v>
      </c>
      <c r="V257" s="55">
        <f>U257/R257</f>
        <v>0</v>
      </c>
      <c r="W257" s="54">
        <v>0</v>
      </c>
      <c r="X257" s="56">
        <f>W257/R257</f>
        <v>0</v>
      </c>
      <c r="Y257" s="57"/>
    </row>
    <row r="258" spans="1:25" s="41" customFormat="1" ht="9" customHeight="1" x14ac:dyDescent="0.2">
      <c r="A258" s="59"/>
      <c r="B258" s="60"/>
      <c r="C258" s="61"/>
      <c r="D258" s="62"/>
      <c r="E258" s="63"/>
      <c r="F258" s="64"/>
      <c r="G258" s="65"/>
      <c r="H258" s="61"/>
      <c r="I258" s="66"/>
      <c r="J258" s="67"/>
      <c r="K258" s="68"/>
      <c r="L258" s="69"/>
      <c r="M258" s="69"/>
      <c r="N258" s="68"/>
      <c r="O258" s="69"/>
      <c r="P258" s="69"/>
      <c r="Q258" s="69"/>
      <c r="R258" s="68"/>
      <c r="S258" s="69"/>
      <c r="T258" s="70"/>
      <c r="U258" s="69"/>
      <c r="V258" s="70"/>
      <c r="W258" s="69"/>
      <c r="X258" s="71"/>
    </row>
    <row r="259" spans="1:25" s="43" customFormat="1" ht="39" customHeight="1" x14ac:dyDescent="0.2">
      <c r="A259" s="86" t="s">
        <v>113</v>
      </c>
      <c r="B259" s="195" t="s">
        <v>114</v>
      </c>
      <c r="C259" s="196"/>
      <c r="D259" s="73" t="s">
        <v>203</v>
      </c>
      <c r="E259" s="74" t="s">
        <v>47</v>
      </c>
      <c r="F259" s="195" t="s">
        <v>204</v>
      </c>
      <c r="G259" s="197"/>
      <c r="H259" s="197"/>
      <c r="I259" s="197"/>
      <c r="J259" s="196"/>
      <c r="K259" s="75">
        <f>SUM(K260:K261)</f>
        <v>67000</v>
      </c>
      <c r="L259" s="75">
        <f t="shared" ref="L259:S259" si="151">SUM(L260:L261)</f>
        <v>3204</v>
      </c>
      <c r="M259" s="75">
        <f t="shared" si="151"/>
        <v>0</v>
      </c>
      <c r="N259" s="75">
        <f t="shared" si="151"/>
        <v>70204</v>
      </c>
      <c r="O259" s="75">
        <f t="shared" si="151"/>
        <v>0</v>
      </c>
      <c r="P259" s="75">
        <f t="shared" si="151"/>
        <v>0</v>
      </c>
      <c r="Q259" s="75">
        <f t="shared" si="151"/>
        <v>0</v>
      </c>
      <c r="R259" s="75">
        <f t="shared" si="151"/>
        <v>70204</v>
      </c>
      <c r="S259" s="75">
        <f t="shared" si="151"/>
        <v>3204</v>
      </c>
      <c r="T259" s="76">
        <f>S259/R259</f>
        <v>4.5638425160959492E-2</v>
      </c>
      <c r="U259" s="75">
        <f>SUM(U260:U261)</f>
        <v>3204</v>
      </c>
      <c r="V259" s="76">
        <f>U259/R259</f>
        <v>4.5638425160959492E-2</v>
      </c>
      <c r="W259" s="75">
        <f>SUM(W260:W261)</f>
        <v>3204</v>
      </c>
      <c r="X259" s="77">
        <f>W259/R259</f>
        <v>4.5638425160959492E-2</v>
      </c>
      <c r="Y259" s="42"/>
    </row>
    <row r="260" spans="1:25" s="58" customFormat="1" ht="39" customHeight="1" x14ac:dyDescent="0.2">
      <c r="A260" s="81" t="s">
        <v>113</v>
      </c>
      <c r="B260" s="45" t="s">
        <v>114</v>
      </c>
      <c r="C260" s="46" t="s">
        <v>200</v>
      </c>
      <c r="D260" s="47" t="s">
        <v>203</v>
      </c>
      <c r="E260" s="48" t="s">
        <v>47</v>
      </c>
      <c r="F260" s="49" t="s">
        <v>204</v>
      </c>
      <c r="G260" s="50">
        <v>1</v>
      </c>
      <c r="H260" s="46" t="s">
        <v>115</v>
      </c>
      <c r="I260" s="85" t="s">
        <v>116</v>
      </c>
      <c r="J260" s="52">
        <v>3</v>
      </c>
      <c r="K260" s="53">
        <v>67000</v>
      </c>
      <c r="L260" s="54">
        <v>0</v>
      </c>
      <c r="M260" s="54">
        <v>0</v>
      </c>
      <c r="N260" s="53">
        <f t="shared" ref="N260:N266" si="152">K260+L260-M260</f>
        <v>67000</v>
      </c>
      <c r="O260" s="54">
        <v>0</v>
      </c>
      <c r="P260" s="54">
        <v>0</v>
      </c>
      <c r="Q260" s="54">
        <v>0</v>
      </c>
      <c r="R260" s="53">
        <f t="shared" ref="R260:R266" si="153">N260-O260+P260+Q260</f>
        <v>67000</v>
      </c>
      <c r="S260" s="54">
        <f>3204</f>
        <v>3204</v>
      </c>
      <c r="T260" s="55">
        <f>S260/R260</f>
        <v>4.7820895522388059E-2</v>
      </c>
      <c r="U260" s="54">
        <f>3204</f>
        <v>3204</v>
      </c>
      <c r="V260" s="55">
        <f t="shared" ref="V260:V303" si="154">U260/R260</f>
        <v>4.7820895522388059E-2</v>
      </c>
      <c r="W260" s="54">
        <f>3204</f>
        <v>3204</v>
      </c>
      <c r="X260" s="56">
        <f t="shared" ref="X260:X261" si="155">W260/R260</f>
        <v>4.7820895522388059E-2</v>
      </c>
      <c r="Y260" s="57"/>
    </row>
    <row r="261" spans="1:25" s="58" customFormat="1" ht="39" customHeight="1" x14ac:dyDescent="0.2">
      <c r="A261" s="81" t="s">
        <v>113</v>
      </c>
      <c r="B261" s="45" t="s">
        <v>114</v>
      </c>
      <c r="C261" s="46" t="s">
        <v>200</v>
      </c>
      <c r="D261" s="47" t="s">
        <v>203</v>
      </c>
      <c r="E261" s="48" t="s">
        <v>47</v>
      </c>
      <c r="F261" s="49" t="s">
        <v>204</v>
      </c>
      <c r="G261" s="50">
        <v>1</v>
      </c>
      <c r="H261" s="162" t="s">
        <v>273</v>
      </c>
      <c r="I261" s="163" t="s">
        <v>274</v>
      </c>
      <c r="J261" s="52">
        <v>3</v>
      </c>
      <c r="K261" s="53">
        <v>0</v>
      </c>
      <c r="L261" s="54">
        <f>3204</f>
        <v>3204</v>
      </c>
      <c r="M261" s="54">
        <v>0</v>
      </c>
      <c r="N261" s="53">
        <f t="shared" si="152"/>
        <v>3204</v>
      </c>
      <c r="O261" s="54">
        <v>0</v>
      </c>
      <c r="P261" s="54">
        <v>0</v>
      </c>
      <c r="Q261" s="54">
        <v>0</v>
      </c>
      <c r="R261" s="53">
        <f t="shared" si="153"/>
        <v>3204</v>
      </c>
      <c r="S261" s="54">
        <v>0</v>
      </c>
      <c r="T261" s="55">
        <f>S261/R261</f>
        <v>0</v>
      </c>
      <c r="U261" s="54">
        <v>0</v>
      </c>
      <c r="V261" s="55">
        <f t="shared" si="154"/>
        <v>0</v>
      </c>
      <c r="W261" s="54">
        <v>0</v>
      </c>
      <c r="X261" s="56">
        <f t="shared" si="155"/>
        <v>0</v>
      </c>
      <c r="Y261" s="57"/>
    </row>
    <row r="262" spans="1:25" s="41" customFormat="1" ht="9" customHeight="1" x14ac:dyDescent="0.2">
      <c r="A262" s="59"/>
      <c r="B262" s="60"/>
      <c r="C262" s="61"/>
      <c r="D262" s="62"/>
      <c r="E262" s="63"/>
      <c r="F262" s="64"/>
      <c r="G262" s="65"/>
      <c r="H262" s="61"/>
      <c r="I262" s="66"/>
      <c r="J262" s="67"/>
      <c r="K262" s="68"/>
      <c r="L262" s="69"/>
      <c r="M262" s="69"/>
      <c r="N262" s="68"/>
      <c r="O262" s="69"/>
      <c r="P262" s="69"/>
      <c r="Q262" s="69"/>
      <c r="R262" s="68"/>
      <c r="S262" s="69"/>
      <c r="T262" s="70"/>
      <c r="U262" s="69"/>
      <c r="V262" s="70"/>
      <c r="W262" s="69"/>
      <c r="X262" s="71"/>
    </row>
    <row r="263" spans="1:25" s="43" customFormat="1" ht="39" customHeight="1" x14ac:dyDescent="0.2">
      <c r="A263" s="86" t="s">
        <v>113</v>
      </c>
      <c r="B263" s="195" t="s">
        <v>114</v>
      </c>
      <c r="C263" s="196"/>
      <c r="D263" s="73" t="s">
        <v>205</v>
      </c>
      <c r="E263" s="74" t="s">
        <v>47</v>
      </c>
      <c r="F263" s="195" t="s">
        <v>206</v>
      </c>
      <c r="G263" s="197"/>
      <c r="H263" s="197"/>
      <c r="I263" s="197"/>
      <c r="J263" s="196"/>
      <c r="K263" s="75">
        <f>SUM(K264:K266)</f>
        <v>892000</v>
      </c>
      <c r="L263" s="75">
        <f t="shared" ref="L263:S263" si="156">SUM(L264:L266)</f>
        <v>9375</v>
      </c>
      <c r="M263" s="75">
        <f t="shared" si="156"/>
        <v>0</v>
      </c>
      <c r="N263" s="75">
        <f t="shared" si="156"/>
        <v>901375</v>
      </c>
      <c r="O263" s="75">
        <f t="shared" si="156"/>
        <v>0</v>
      </c>
      <c r="P263" s="75">
        <f t="shared" si="156"/>
        <v>0</v>
      </c>
      <c r="Q263" s="75">
        <f t="shared" si="156"/>
        <v>0</v>
      </c>
      <c r="R263" s="75">
        <f t="shared" si="156"/>
        <v>901375</v>
      </c>
      <c r="S263" s="75">
        <f t="shared" si="156"/>
        <v>10640</v>
      </c>
      <c r="T263" s="76">
        <f>S263/R263</f>
        <v>1.180418804604077E-2</v>
      </c>
      <c r="U263" s="75">
        <f>SUM(U264:U266)</f>
        <v>10640</v>
      </c>
      <c r="V263" s="76">
        <f>U263/R263</f>
        <v>1.180418804604077E-2</v>
      </c>
      <c r="W263" s="75">
        <f>SUM(W264:W266)</f>
        <v>10640</v>
      </c>
      <c r="X263" s="77">
        <f>W263/R263</f>
        <v>1.180418804604077E-2</v>
      </c>
      <c r="Y263" s="42"/>
    </row>
    <row r="264" spans="1:25" s="58" customFormat="1" ht="39" customHeight="1" x14ac:dyDescent="0.2">
      <c r="A264" s="81" t="s">
        <v>113</v>
      </c>
      <c r="B264" s="45" t="s">
        <v>114</v>
      </c>
      <c r="C264" s="46" t="s">
        <v>200</v>
      </c>
      <c r="D264" s="47" t="s">
        <v>205</v>
      </c>
      <c r="E264" s="48" t="s">
        <v>47</v>
      </c>
      <c r="F264" s="49" t="s">
        <v>206</v>
      </c>
      <c r="G264" s="50">
        <v>1</v>
      </c>
      <c r="H264" s="46" t="s">
        <v>207</v>
      </c>
      <c r="I264" s="51" t="s">
        <v>208</v>
      </c>
      <c r="J264" s="52">
        <v>3</v>
      </c>
      <c r="K264" s="53">
        <v>60000</v>
      </c>
      <c r="L264" s="54">
        <v>0</v>
      </c>
      <c r="M264" s="54">
        <v>0</v>
      </c>
      <c r="N264" s="53">
        <f t="shared" si="152"/>
        <v>60000</v>
      </c>
      <c r="O264" s="54">
        <v>0</v>
      </c>
      <c r="P264" s="54">
        <v>0</v>
      </c>
      <c r="Q264" s="54">
        <v>0</v>
      </c>
      <c r="R264" s="53">
        <f t="shared" si="153"/>
        <v>60000</v>
      </c>
      <c r="S264" s="54">
        <v>0</v>
      </c>
      <c r="T264" s="55">
        <f>S264/R264</f>
        <v>0</v>
      </c>
      <c r="U264" s="54">
        <v>0</v>
      </c>
      <c r="V264" s="55">
        <f>U264/R264</f>
        <v>0</v>
      </c>
      <c r="W264" s="54">
        <v>0</v>
      </c>
      <c r="X264" s="56">
        <f>W264/R264</f>
        <v>0</v>
      </c>
      <c r="Y264" s="57"/>
    </row>
    <row r="265" spans="1:25" s="58" customFormat="1" ht="39" customHeight="1" x14ac:dyDescent="0.2">
      <c r="A265" s="81" t="s">
        <v>113</v>
      </c>
      <c r="B265" s="45" t="s">
        <v>114</v>
      </c>
      <c r="C265" s="46" t="s">
        <v>200</v>
      </c>
      <c r="D265" s="47" t="s">
        <v>205</v>
      </c>
      <c r="E265" s="48" t="s">
        <v>47</v>
      </c>
      <c r="F265" s="49" t="s">
        <v>206</v>
      </c>
      <c r="G265" s="50">
        <v>1</v>
      </c>
      <c r="H265" s="46" t="s">
        <v>115</v>
      </c>
      <c r="I265" s="85" t="s">
        <v>116</v>
      </c>
      <c r="J265" s="52">
        <v>3</v>
      </c>
      <c r="K265" s="53">
        <v>832000</v>
      </c>
      <c r="L265" s="54">
        <v>0</v>
      </c>
      <c r="M265" s="54">
        <v>0</v>
      </c>
      <c r="N265" s="53">
        <f t="shared" si="152"/>
        <v>832000</v>
      </c>
      <c r="O265" s="54">
        <v>0</v>
      </c>
      <c r="P265" s="54">
        <v>0</v>
      </c>
      <c r="Q265" s="54">
        <v>0</v>
      </c>
      <c r="R265" s="53">
        <f t="shared" si="153"/>
        <v>832000</v>
      </c>
      <c r="S265" s="54">
        <f>7460+3180</f>
        <v>10640</v>
      </c>
      <c r="T265" s="55">
        <f>S265/R265</f>
        <v>1.2788461538461538E-2</v>
      </c>
      <c r="U265" s="54">
        <f>2000+5460+3180</f>
        <v>10640</v>
      </c>
      <c r="V265" s="55">
        <f>U265/R265</f>
        <v>1.2788461538461538E-2</v>
      </c>
      <c r="W265" s="54">
        <f>2000+8640</f>
        <v>10640</v>
      </c>
      <c r="X265" s="56">
        <f>W265/R265</f>
        <v>1.2788461538461538E-2</v>
      </c>
      <c r="Y265" s="57"/>
    </row>
    <row r="266" spans="1:25" s="58" customFormat="1" ht="39" customHeight="1" x14ac:dyDescent="0.2">
      <c r="A266" s="81" t="s">
        <v>113</v>
      </c>
      <c r="B266" s="45" t="s">
        <v>114</v>
      </c>
      <c r="C266" s="46" t="s">
        <v>200</v>
      </c>
      <c r="D266" s="47" t="s">
        <v>205</v>
      </c>
      <c r="E266" s="48" t="s">
        <v>47</v>
      </c>
      <c r="F266" s="49" t="s">
        <v>206</v>
      </c>
      <c r="G266" s="50">
        <v>1</v>
      </c>
      <c r="H266" s="162" t="s">
        <v>273</v>
      </c>
      <c r="I266" s="163" t="s">
        <v>274</v>
      </c>
      <c r="J266" s="52">
        <v>3</v>
      </c>
      <c r="K266" s="53">
        <v>0</v>
      </c>
      <c r="L266" s="54">
        <f>9375</f>
        <v>9375</v>
      </c>
      <c r="M266" s="54">
        <v>0</v>
      </c>
      <c r="N266" s="53">
        <f t="shared" si="152"/>
        <v>9375</v>
      </c>
      <c r="O266" s="54">
        <v>0</v>
      </c>
      <c r="P266" s="54">
        <v>0</v>
      </c>
      <c r="Q266" s="54">
        <v>0</v>
      </c>
      <c r="R266" s="53">
        <f t="shared" si="153"/>
        <v>9375</v>
      </c>
      <c r="S266" s="54">
        <v>0</v>
      </c>
      <c r="T266" s="55">
        <f>S266/R266</f>
        <v>0</v>
      </c>
      <c r="U266" s="54">
        <v>0</v>
      </c>
      <c r="V266" s="55">
        <f>U266/R266</f>
        <v>0</v>
      </c>
      <c r="W266" s="54">
        <v>0</v>
      </c>
      <c r="X266" s="56">
        <f>W266/R266</f>
        <v>0</v>
      </c>
      <c r="Y266" s="57"/>
    </row>
    <row r="267" spans="1:25" s="41" customFormat="1" ht="9" customHeight="1" x14ac:dyDescent="0.2">
      <c r="A267" s="59"/>
      <c r="B267" s="60"/>
      <c r="C267" s="61"/>
      <c r="D267" s="62"/>
      <c r="E267" s="63"/>
      <c r="F267" s="64"/>
      <c r="G267" s="65"/>
      <c r="H267" s="61"/>
      <c r="I267" s="66"/>
      <c r="J267" s="67"/>
      <c r="K267" s="68"/>
      <c r="L267" s="69"/>
      <c r="M267" s="69"/>
      <c r="N267" s="68"/>
      <c r="O267" s="69"/>
      <c r="P267" s="69"/>
      <c r="Q267" s="69"/>
      <c r="R267" s="68"/>
      <c r="S267" s="69"/>
      <c r="T267" s="70"/>
      <c r="U267" s="69"/>
      <c r="V267" s="70"/>
      <c r="W267" s="69"/>
      <c r="X267" s="71"/>
    </row>
    <row r="268" spans="1:25" s="43" customFormat="1" ht="39" customHeight="1" x14ac:dyDescent="0.2">
      <c r="A268" s="86" t="s">
        <v>113</v>
      </c>
      <c r="B268" s="195" t="s">
        <v>114</v>
      </c>
      <c r="C268" s="196"/>
      <c r="D268" s="73" t="s">
        <v>209</v>
      </c>
      <c r="E268" s="74" t="s">
        <v>47</v>
      </c>
      <c r="F268" s="195" t="s">
        <v>210</v>
      </c>
      <c r="G268" s="197"/>
      <c r="H268" s="197"/>
      <c r="I268" s="197"/>
      <c r="J268" s="196"/>
      <c r="K268" s="75">
        <f>SUM(K269:K270)</f>
        <v>1008243</v>
      </c>
      <c r="L268" s="75">
        <f t="shared" ref="L268:S268" si="157">SUM(L269:L270)</f>
        <v>107820</v>
      </c>
      <c r="M268" s="75">
        <f t="shared" si="157"/>
        <v>0</v>
      </c>
      <c r="N268" s="75">
        <f t="shared" si="157"/>
        <v>1116063</v>
      </c>
      <c r="O268" s="75">
        <f t="shared" si="157"/>
        <v>0</v>
      </c>
      <c r="P268" s="75">
        <f t="shared" si="157"/>
        <v>0</v>
      </c>
      <c r="Q268" s="75">
        <f t="shared" si="157"/>
        <v>0</v>
      </c>
      <c r="R268" s="75">
        <f t="shared" si="157"/>
        <v>1116063</v>
      </c>
      <c r="S268" s="75">
        <f t="shared" si="157"/>
        <v>290435.21999999997</v>
      </c>
      <c r="T268" s="76">
        <f>S268/R268</f>
        <v>0.26023192239147785</v>
      </c>
      <c r="U268" s="75">
        <f>SUM(U269:U270)</f>
        <v>268138.91000000003</v>
      </c>
      <c r="V268" s="76">
        <f>U268/R268</f>
        <v>0.24025427776030567</v>
      </c>
      <c r="W268" s="75">
        <f>SUM(W269:W270)</f>
        <v>268138.91000000003</v>
      </c>
      <c r="X268" s="77">
        <f>W268/R268</f>
        <v>0.24025427776030567</v>
      </c>
      <c r="Y268" s="42"/>
    </row>
    <row r="269" spans="1:25" s="58" customFormat="1" ht="39" customHeight="1" x14ac:dyDescent="0.2">
      <c r="A269" s="81" t="s">
        <v>113</v>
      </c>
      <c r="B269" s="45" t="s">
        <v>114</v>
      </c>
      <c r="C269" s="46" t="s">
        <v>211</v>
      </c>
      <c r="D269" s="47" t="s">
        <v>209</v>
      </c>
      <c r="E269" s="48" t="s">
        <v>47</v>
      </c>
      <c r="F269" s="49" t="s">
        <v>212</v>
      </c>
      <c r="G269" s="50">
        <v>1</v>
      </c>
      <c r="H269" s="46" t="s">
        <v>115</v>
      </c>
      <c r="I269" s="85" t="s">
        <v>116</v>
      </c>
      <c r="J269" s="52">
        <v>3</v>
      </c>
      <c r="K269" s="53">
        <v>1008243</v>
      </c>
      <c r="L269" s="54">
        <v>0</v>
      </c>
      <c r="M269" s="54">
        <v>0</v>
      </c>
      <c r="N269" s="53">
        <f>K269+L269-M269</f>
        <v>1008243</v>
      </c>
      <c r="O269" s="54">
        <v>0</v>
      </c>
      <c r="P269" s="54">
        <v>0</v>
      </c>
      <c r="Q269" s="54">
        <v>0</v>
      </c>
      <c r="R269" s="53">
        <f>N269-O269+P269+Q269</f>
        <v>1008243</v>
      </c>
      <c r="S269" s="54">
        <f>101828.54+80832.3</f>
        <v>182660.84</v>
      </c>
      <c r="T269" s="55">
        <f>S269/R269</f>
        <v>0.18116747649128237</v>
      </c>
      <c r="U269" s="54">
        <f>77248.31+83116.22</f>
        <v>160364.53</v>
      </c>
      <c r="V269" s="55">
        <f>U269/R269</f>
        <v>0.1590534523919333</v>
      </c>
      <c r="W269" s="54">
        <f>7065.96+153298.57</f>
        <v>160364.53</v>
      </c>
      <c r="X269" s="56">
        <f>W269/R269</f>
        <v>0.1590534523919333</v>
      </c>
      <c r="Y269" s="57"/>
    </row>
    <row r="270" spans="1:25" s="58" customFormat="1" ht="39" customHeight="1" x14ac:dyDescent="0.2">
      <c r="A270" s="81" t="s">
        <v>113</v>
      </c>
      <c r="B270" s="45" t="s">
        <v>114</v>
      </c>
      <c r="C270" s="46" t="s">
        <v>211</v>
      </c>
      <c r="D270" s="47" t="s">
        <v>209</v>
      </c>
      <c r="E270" s="48" t="s">
        <v>47</v>
      </c>
      <c r="F270" s="49" t="s">
        <v>212</v>
      </c>
      <c r="G270" s="50">
        <v>1</v>
      </c>
      <c r="H270" s="162" t="s">
        <v>273</v>
      </c>
      <c r="I270" s="163" t="s">
        <v>274</v>
      </c>
      <c r="J270" s="52">
        <v>3</v>
      </c>
      <c r="K270" s="53">
        <v>0</v>
      </c>
      <c r="L270" s="54">
        <f>107820</f>
        <v>107820</v>
      </c>
      <c r="M270" s="54">
        <v>0</v>
      </c>
      <c r="N270" s="53">
        <f>K270+L270-M270</f>
        <v>107820</v>
      </c>
      <c r="O270" s="54">
        <v>0</v>
      </c>
      <c r="P270" s="54">
        <v>0</v>
      </c>
      <c r="Q270" s="54">
        <v>0</v>
      </c>
      <c r="R270" s="53">
        <f>N270-O270+P270+Q270</f>
        <v>107820</v>
      </c>
      <c r="S270" s="54">
        <f>107774.38</f>
        <v>107774.38</v>
      </c>
      <c r="T270" s="55">
        <f>S270/R270</f>
        <v>0.99957688740493422</v>
      </c>
      <c r="U270" s="54">
        <f>107774.38</f>
        <v>107774.38</v>
      </c>
      <c r="V270" s="55">
        <f>U270/R270</f>
        <v>0.99957688740493422</v>
      </c>
      <c r="W270" s="54">
        <f>107672.03+102.35</f>
        <v>107774.38</v>
      </c>
      <c r="X270" s="56">
        <f>W270/R270</f>
        <v>0.99957688740493422</v>
      </c>
      <c r="Y270" s="57"/>
    </row>
    <row r="271" spans="1:25" s="41" customFormat="1" ht="9" customHeight="1" x14ac:dyDescent="0.2">
      <c r="A271" s="59"/>
      <c r="B271" s="60"/>
      <c r="C271" s="61"/>
      <c r="D271" s="62"/>
      <c r="E271" s="63"/>
      <c r="F271" s="64"/>
      <c r="G271" s="65"/>
      <c r="H271" s="61"/>
      <c r="I271" s="66"/>
      <c r="J271" s="67"/>
      <c r="K271" s="68"/>
      <c r="L271" s="69"/>
      <c r="M271" s="69"/>
      <c r="N271" s="68"/>
      <c r="O271" s="69"/>
      <c r="P271" s="69"/>
      <c r="Q271" s="69"/>
      <c r="R271" s="68"/>
      <c r="S271" s="69"/>
      <c r="T271" s="70"/>
      <c r="U271" s="69"/>
      <c r="V271" s="70"/>
      <c r="W271" s="69"/>
      <c r="X271" s="71"/>
    </row>
    <row r="272" spans="1:25" s="95" customFormat="1" ht="39" customHeight="1" x14ac:dyDescent="0.2">
      <c r="A272" s="93" t="s">
        <v>113</v>
      </c>
      <c r="B272" s="186" t="s">
        <v>114</v>
      </c>
      <c r="C272" s="187"/>
      <c r="D272" s="73" t="s">
        <v>213</v>
      </c>
      <c r="E272" s="74" t="s">
        <v>47</v>
      </c>
      <c r="F272" s="186" t="s">
        <v>214</v>
      </c>
      <c r="G272" s="188"/>
      <c r="H272" s="188"/>
      <c r="I272" s="188"/>
      <c r="J272" s="187"/>
      <c r="K272" s="75">
        <f>K273</f>
        <v>1080400</v>
      </c>
      <c r="L272" s="75">
        <f t="shared" ref="L272:S272" si="158">L273</f>
        <v>0</v>
      </c>
      <c r="M272" s="75">
        <f t="shared" si="158"/>
        <v>0</v>
      </c>
      <c r="N272" s="75">
        <f t="shared" si="158"/>
        <v>1080400</v>
      </c>
      <c r="O272" s="75">
        <f t="shared" si="158"/>
        <v>0</v>
      </c>
      <c r="P272" s="75">
        <f t="shared" si="158"/>
        <v>0</v>
      </c>
      <c r="Q272" s="75">
        <f t="shared" si="158"/>
        <v>0</v>
      </c>
      <c r="R272" s="75">
        <f t="shared" si="158"/>
        <v>1080400</v>
      </c>
      <c r="S272" s="75">
        <f t="shared" si="158"/>
        <v>203716.05</v>
      </c>
      <c r="T272" s="76">
        <f>S272/R272</f>
        <v>0.1885561366160681</v>
      </c>
      <c r="U272" s="75">
        <f>U273</f>
        <v>185120.2</v>
      </c>
      <c r="V272" s="76">
        <f t="shared" ref="V272" si="159">U272/R272</f>
        <v>0.17134413180303593</v>
      </c>
      <c r="W272" s="75">
        <f>W273</f>
        <v>185120.2</v>
      </c>
      <c r="X272" s="77">
        <f t="shared" ref="X272:X273" si="160">W272/R272</f>
        <v>0.17134413180303593</v>
      </c>
      <c r="Y272" s="94"/>
    </row>
    <row r="273" spans="1:25" s="58" customFormat="1" ht="39" customHeight="1" x14ac:dyDescent="0.2">
      <c r="A273" s="81" t="s">
        <v>113</v>
      </c>
      <c r="B273" s="45" t="s">
        <v>114</v>
      </c>
      <c r="C273" s="46" t="s">
        <v>215</v>
      </c>
      <c r="D273" s="47" t="s">
        <v>213</v>
      </c>
      <c r="E273" s="48" t="s">
        <v>47</v>
      </c>
      <c r="F273" s="49" t="s">
        <v>214</v>
      </c>
      <c r="G273" s="50">
        <v>1</v>
      </c>
      <c r="H273" s="46" t="s">
        <v>115</v>
      </c>
      <c r="I273" s="85" t="s">
        <v>116</v>
      </c>
      <c r="J273" s="52">
        <v>3</v>
      </c>
      <c r="K273" s="53">
        <v>1080400</v>
      </c>
      <c r="L273" s="54">
        <v>0</v>
      </c>
      <c r="M273" s="54">
        <v>0</v>
      </c>
      <c r="N273" s="53">
        <f t="shared" ref="N273" si="161">K273+L273-M273</f>
        <v>1080400</v>
      </c>
      <c r="O273" s="54">
        <v>0</v>
      </c>
      <c r="P273" s="54">
        <v>0</v>
      </c>
      <c r="Q273" s="54">
        <v>0</v>
      </c>
      <c r="R273" s="53">
        <f t="shared" ref="R273" si="162">N273-O273+P273+Q273</f>
        <v>1080400</v>
      </c>
      <c r="S273" s="54">
        <f>149172.28+54543.77</f>
        <v>203716.05</v>
      </c>
      <c r="T273" s="55">
        <f>S273/R273</f>
        <v>0.1885561366160681</v>
      </c>
      <c r="U273" s="54">
        <f>135753.23+49366.97</f>
        <v>185120.2</v>
      </c>
      <c r="V273" s="55">
        <f t="shared" si="154"/>
        <v>0.17134413180303593</v>
      </c>
      <c r="W273" s="54">
        <f>135753.23+49366.97</f>
        <v>185120.2</v>
      </c>
      <c r="X273" s="56">
        <f t="shared" si="160"/>
        <v>0.17134413180303593</v>
      </c>
      <c r="Y273" s="57"/>
    </row>
    <row r="274" spans="1:25" s="41" customFormat="1" ht="9" customHeight="1" x14ac:dyDescent="0.2">
      <c r="A274" s="59"/>
      <c r="B274" s="60"/>
      <c r="C274" s="61"/>
      <c r="D274" s="62"/>
      <c r="E274" s="63"/>
      <c r="F274" s="64"/>
      <c r="G274" s="65"/>
      <c r="H274" s="61"/>
      <c r="I274" s="66"/>
      <c r="J274" s="67"/>
      <c r="K274" s="68"/>
      <c r="L274" s="69"/>
      <c r="M274" s="69"/>
      <c r="N274" s="68"/>
      <c r="O274" s="69"/>
      <c r="P274" s="69"/>
      <c r="Q274" s="69"/>
      <c r="R274" s="68"/>
      <c r="S274" s="69"/>
      <c r="T274" s="70"/>
      <c r="U274" s="69"/>
      <c r="V274" s="70"/>
      <c r="W274" s="69"/>
      <c r="X274" s="71"/>
    </row>
    <row r="275" spans="1:25" s="95" customFormat="1" ht="39" customHeight="1" x14ac:dyDescent="0.2">
      <c r="A275" s="93" t="s">
        <v>113</v>
      </c>
      <c r="B275" s="186" t="s">
        <v>114</v>
      </c>
      <c r="C275" s="187"/>
      <c r="D275" s="73" t="s">
        <v>216</v>
      </c>
      <c r="E275" s="96" t="s">
        <v>62</v>
      </c>
      <c r="F275" s="186" t="s">
        <v>89</v>
      </c>
      <c r="G275" s="188"/>
      <c r="H275" s="188"/>
      <c r="I275" s="188"/>
      <c r="J275" s="187"/>
      <c r="K275" s="75">
        <f>SUM(K276:K277)</f>
        <v>5580000</v>
      </c>
      <c r="L275" s="75">
        <f t="shared" ref="L275:S275" si="163">SUM(L276:L277)</f>
        <v>255005</v>
      </c>
      <c r="M275" s="75">
        <f t="shared" si="163"/>
        <v>0</v>
      </c>
      <c r="N275" s="75">
        <f t="shared" si="163"/>
        <v>5835005</v>
      </c>
      <c r="O275" s="75">
        <f t="shared" si="163"/>
        <v>0</v>
      </c>
      <c r="P275" s="75">
        <f t="shared" si="163"/>
        <v>0</v>
      </c>
      <c r="Q275" s="75">
        <f t="shared" si="163"/>
        <v>0</v>
      </c>
      <c r="R275" s="75">
        <f t="shared" si="163"/>
        <v>5835005</v>
      </c>
      <c r="S275" s="75">
        <f t="shared" si="163"/>
        <v>1718194</v>
      </c>
      <c r="T275" s="76">
        <f>S275/R275</f>
        <v>0.29446315812925611</v>
      </c>
      <c r="U275" s="75">
        <f>SUM(U276:U277)</f>
        <v>1718194</v>
      </c>
      <c r="V275" s="76">
        <f t="shared" ref="V275" si="164">U275/R275</f>
        <v>0.29446315812925611</v>
      </c>
      <c r="W275" s="75">
        <f>SUM(W276:W277)</f>
        <v>1718194</v>
      </c>
      <c r="X275" s="77">
        <f t="shared" ref="X275:X297" si="165">W275/R275</f>
        <v>0.29446315812925611</v>
      </c>
      <c r="Y275" s="94"/>
    </row>
    <row r="276" spans="1:25" s="58" customFormat="1" ht="39" customHeight="1" x14ac:dyDescent="0.2">
      <c r="A276" s="81" t="s">
        <v>113</v>
      </c>
      <c r="B276" s="45" t="s">
        <v>114</v>
      </c>
      <c r="C276" s="46" t="s">
        <v>90</v>
      </c>
      <c r="D276" s="47" t="s">
        <v>216</v>
      </c>
      <c r="E276" s="48" t="s">
        <v>62</v>
      </c>
      <c r="F276" s="49" t="s">
        <v>217</v>
      </c>
      <c r="G276" s="50">
        <v>1</v>
      </c>
      <c r="H276" s="46" t="s">
        <v>115</v>
      </c>
      <c r="I276" s="85" t="s">
        <v>116</v>
      </c>
      <c r="J276" s="52">
        <v>3</v>
      </c>
      <c r="K276" s="53">
        <v>5580000</v>
      </c>
      <c r="L276" s="54">
        <v>0</v>
      </c>
      <c r="M276" s="54">
        <v>0</v>
      </c>
      <c r="N276" s="53">
        <f t="shared" ref="N276:N280" si="166">K276+L276-M276</f>
        <v>5580000</v>
      </c>
      <c r="O276" s="54">
        <v>0</v>
      </c>
      <c r="P276" s="54">
        <v>0</v>
      </c>
      <c r="Q276" s="54">
        <v>0</v>
      </c>
      <c r="R276" s="53">
        <f t="shared" ref="R276:R297" si="167">N276-O276+P276+Q276</f>
        <v>5580000</v>
      </c>
      <c r="S276" s="54">
        <f>170853.28+1019861.38+527479.34</f>
        <v>1718194</v>
      </c>
      <c r="T276" s="55">
        <f>S276/R276</f>
        <v>0.30792007168458779</v>
      </c>
      <c r="U276" s="54">
        <f>170853.28+1019861.38+527479.34</f>
        <v>1718194</v>
      </c>
      <c r="V276" s="55">
        <f t="shared" si="154"/>
        <v>0.30792007168458779</v>
      </c>
      <c r="W276" s="54">
        <f>170853.28+1019861.38+527479.34</f>
        <v>1718194</v>
      </c>
      <c r="X276" s="56">
        <f t="shared" si="165"/>
        <v>0.30792007168458779</v>
      </c>
      <c r="Y276" s="57"/>
    </row>
    <row r="277" spans="1:25" s="58" customFormat="1" ht="39" customHeight="1" x14ac:dyDescent="0.2">
      <c r="A277" s="81" t="s">
        <v>113</v>
      </c>
      <c r="B277" s="45" t="s">
        <v>114</v>
      </c>
      <c r="C277" s="46" t="s">
        <v>90</v>
      </c>
      <c r="D277" s="47" t="s">
        <v>216</v>
      </c>
      <c r="E277" s="48" t="s">
        <v>62</v>
      </c>
      <c r="F277" s="49" t="s">
        <v>217</v>
      </c>
      <c r="G277" s="50">
        <v>1</v>
      </c>
      <c r="H277" s="162" t="s">
        <v>273</v>
      </c>
      <c r="I277" s="163" t="s">
        <v>274</v>
      </c>
      <c r="J277" s="52">
        <v>3</v>
      </c>
      <c r="K277" s="53">
        <v>0</v>
      </c>
      <c r="L277" s="54">
        <f>255005</f>
        <v>255005</v>
      </c>
      <c r="M277" s="54">
        <v>0</v>
      </c>
      <c r="N277" s="53">
        <f t="shared" si="166"/>
        <v>255005</v>
      </c>
      <c r="O277" s="54">
        <v>0</v>
      </c>
      <c r="P277" s="54">
        <v>0</v>
      </c>
      <c r="Q277" s="54">
        <v>0</v>
      </c>
      <c r="R277" s="53">
        <f t="shared" si="167"/>
        <v>255005</v>
      </c>
      <c r="S277" s="54">
        <v>0</v>
      </c>
      <c r="T277" s="55">
        <f>S277/R277</f>
        <v>0</v>
      </c>
      <c r="U277" s="54">
        <v>0</v>
      </c>
      <c r="V277" s="55">
        <f t="shared" si="154"/>
        <v>0</v>
      </c>
      <c r="W277" s="54">
        <v>0</v>
      </c>
      <c r="X277" s="56">
        <f t="shared" si="165"/>
        <v>0</v>
      </c>
      <c r="Y277" s="57"/>
    </row>
    <row r="278" spans="1:25" s="41" customFormat="1" ht="9" customHeight="1" x14ac:dyDescent="0.2">
      <c r="A278" s="59"/>
      <c r="B278" s="60"/>
      <c r="C278" s="61"/>
      <c r="D278" s="62"/>
      <c r="E278" s="63"/>
      <c r="F278" s="64"/>
      <c r="G278" s="65"/>
      <c r="H278" s="61"/>
      <c r="I278" s="66"/>
      <c r="J278" s="67"/>
      <c r="K278" s="68"/>
      <c r="L278" s="69"/>
      <c r="M278" s="69"/>
      <c r="N278" s="68"/>
      <c r="O278" s="69"/>
      <c r="P278" s="69"/>
      <c r="Q278" s="69"/>
      <c r="R278" s="68"/>
      <c r="S278" s="69"/>
      <c r="T278" s="70"/>
      <c r="U278" s="69"/>
      <c r="V278" s="70"/>
      <c r="W278" s="69"/>
      <c r="X278" s="71"/>
    </row>
    <row r="279" spans="1:25" s="95" customFormat="1" ht="39" customHeight="1" x14ac:dyDescent="0.2">
      <c r="A279" s="93" t="s">
        <v>113</v>
      </c>
      <c r="B279" s="186" t="s">
        <v>114</v>
      </c>
      <c r="C279" s="187"/>
      <c r="D279" s="73" t="s">
        <v>218</v>
      </c>
      <c r="E279" s="96" t="s">
        <v>62</v>
      </c>
      <c r="F279" s="186" t="s">
        <v>219</v>
      </c>
      <c r="G279" s="188"/>
      <c r="H279" s="188"/>
      <c r="I279" s="188"/>
      <c r="J279" s="187"/>
      <c r="K279" s="75">
        <f>SUM(K280:K280)</f>
        <v>1374382</v>
      </c>
      <c r="L279" s="75">
        <f t="shared" ref="L279:S279" si="168">SUM(L280:L280)</f>
        <v>0</v>
      </c>
      <c r="M279" s="75">
        <f t="shared" si="168"/>
        <v>0</v>
      </c>
      <c r="N279" s="75">
        <f t="shared" si="168"/>
        <v>1374382</v>
      </c>
      <c r="O279" s="75">
        <f t="shared" si="168"/>
        <v>0</v>
      </c>
      <c r="P279" s="75">
        <f t="shared" si="168"/>
        <v>0</v>
      </c>
      <c r="Q279" s="75">
        <f t="shared" si="168"/>
        <v>0</v>
      </c>
      <c r="R279" s="75">
        <f t="shared" si="168"/>
        <v>1374382</v>
      </c>
      <c r="S279" s="75">
        <f t="shared" si="168"/>
        <v>153868.12</v>
      </c>
      <c r="T279" s="76">
        <f>S279/R279</f>
        <v>0.11195440568924796</v>
      </c>
      <c r="U279" s="75">
        <f>SUM(U280:U280)</f>
        <v>153868.12</v>
      </c>
      <c r="V279" s="76">
        <f t="shared" ref="V279" si="169">U279/R279</f>
        <v>0.11195440568924796</v>
      </c>
      <c r="W279" s="75">
        <f>SUM(W280:W280)</f>
        <v>153868.12</v>
      </c>
      <c r="X279" s="77">
        <f t="shared" ref="X279" si="170">W279/R279</f>
        <v>0.11195440568924796</v>
      </c>
      <c r="Y279" s="94"/>
    </row>
    <row r="280" spans="1:25" s="58" customFormat="1" ht="39" customHeight="1" x14ac:dyDescent="0.2">
      <c r="A280" s="81" t="s">
        <v>113</v>
      </c>
      <c r="B280" s="45" t="s">
        <v>114</v>
      </c>
      <c r="C280" s="46" t="s">
        <v>90</v>
      </c>
      <c r="D280" s="47" t="s">
        <v>218</v>
      </c>
      <c r="E280" s="48" t="s">
        <v>62</v>
      </c>
      <c r="F280" s="49" t="s">
        <v>220</v>
      </c>
      <c r="G280" s="50">
        <v>1</v>
      </c>
      <c r="H280" s="46" t="s">
        <v>115</v>
      </c>
      <c r="I280" s="85" t="s">
        <v>116</v>
      </c>
      <c r="J280" s="52">
        <v>3</v>
      </c>
      <c r="K280" s="53">
        <v>1374382</v>
      </c>
      <c r="L280" s="54">
        <v>0</v>
      </c>
      <c r="M280" s="54">
        <v>0</v>
      </c>
      <c r="N280" s="53">
        <f t="shared" si="166"/>
        <v>1374382</v>
      </c>
      <c r="O280" s="54">
        <v>0</v>
      </c>
      <c r="P280" s="54">
        <v>0</v>
      </c>
      <c r="Q280" s="54">
        <v>0</v>
      </c>
      <c r="R280" s="53">
        <f t="shared" si="167"/>
        <v>1374382</v>
      </c>
      <c r="S280" s="54">
        <f>15300.29+91330.87+47236.96</f>
        <v>153868.12</v>
      </c>
      <c r="T280" s="55">
        <f>S280/R280</f>
        <v>0.11195440568924796</v>
      </c>
      <c r="U280" s="54">
        <f>15300.29+91330.87+47236.96</f>
        <v>153868.12</v>
      </c>
      <c r="V280" s="55">
        <f t="shared" si="154"/>
        <v>0.11195440568924796</v>
      </c>
      <c r="W280" s="54">
        <f>15300.29+91330.87+47236.96</f>
        <v>153868.12</v>
      </c>
      <c r="X280" s="56">
        <f t="shared" si="165"/>
        <v>0.11195440568924796</v>
      </c>
      <c r="Y280" s="57"/>
    </row>
    <row r="281" spans="1:25" s="41" customFormat="1" ht="9" customHeight="1" x14ac:dyDescent="0.2">
      <c r="A281" s="59"/>
      <c r="B281" s="60"/>
      <c r="C281" s="61"/>
      <c r="D281" s="62"/>
      <c r="E281" s="63"/>
      <c r="F281" s="64"/>
      <c r="G281" s="65"/>
      <c r="H281" s="61"/>
      <c r="I281" s="66"/>
      <c r="J281" s="67"/>
      <c r="K281" s="68"/>
      <c r="L281" s="69"/>
      <c r="M281" s="69"/>
      <c r="N281" s="68"/>
      <c r="O281" s="69"/>
      <c r="P281" s="69"/>
      <c r="Q281" s="69"/>
      <c r="R281" s="68"/>
      <c r="S281" s="69"/>
      <c r="T281" s="70"/>
      <c r="U281" s="69"/>
      <c r="V281" s="70"/>
      <c r="W281" s="69"/>
      <c r="X281" s="71"/>
    </row>
    <row r="282" spans="1:25" s="95" customFormat="1" ht="39" customHeight="1" x14ac:dyDescent="0.2">
      <c r="A282" s="93" t="s">
        <v>113</v>
      </c>
      <c r="B282" s="186" t="s">
        <v>114</v>
      </c>
      <c r="C282" s="187"/>
      <c r="D282" s="73" t="s">
        <v>221</v>
      </c>
      <c r="E282" s="96" t="s">
        <v>62</v>
      </c>
      <c r="F282" s="186" t="s">
        <v>222</v>
      </c>
      <c r="G282" s="188"/>
      <c r="H282" s="188"/>
      <c r="I282" s="188"/>
      <c r="J282" s="187"/>
      <c r="K282" s="75">
        <f>SUM(K283:K283)</f>
        <v>2580000</v>
      </c>
      <c r="L282" s="75">
        <f t="shared" ref="L282:S282" si="171">SUM(L283:L283)</f>
        <v>0</v>
      </c>
      <c r="M282" s="75">
        <f t="shared" si="171"/>
        <v>0</v>
      </c>
      <c r="N282" s="75">
        <f t="shared" si="171"/>
        <v>2580000</v>
      </c>
      <c r="O282" s="75">
        <f t="shared" si="171"/>
        <v>0</v>
      </c>
      <c r="P282" s="75">
        <f t="shared" si="171"/>
        <v>0</v>
      </c>
      <c r="Q282" s="75">
        <f t="shared" si="171"/>
        <v>0</v>
      </c>
      <c r="R282" s="75">
        <f t="shared" si="171"/>
        <v>2580000</v>
      </c>
      <c r="S282" s="75">
        <f t="shared" si="171"/>
        <v>692406.53</v>
      </c>
      <c r="T282" s="76">
        <f>S282/R282</f>
        <v>0.26837462403100776</v>
      </c>
      <c r="U282" s="75">
        <f>SUM(U283:U283)</f>
        <v>692406.53</v>
      </c>
      <c r="V282" s="76">
        <f t="shared" ref="V282" si="172">U282/R282</f>
        <v>0.26837462403100776</v>
      </c>
      <c r="W282" s="75">
        <f>SUM(W283:W283)</f>
        <v>692406.53</v>
      </c>
      <c r="X282" s="77">
        <f t="shared" ref="X282" si="173">W282/R282</f>
        <v>0.26837462403100776</v>
      </c>
      <c r="Y282" s="94"/>
    </row>
    <row r="283" spans="1:25" s="58" customFormat="1" ht="39" customHeight="1" x14ac:dyDescent="0.2">
      <c r="A283" s="81" t="s">
        <v>113</v>
      </c>
      <c r="B283" s="45" t="s">
        <v>114</v>
      </c>
      <c r="C283" s="46" t="s">
        <v>90</v>
      </c>
      <c r="D283" s="47" t="s">
        <v>221</v>
      </c>
      <c r="E283" s="48" t="s">
        <v>62</v>
      </c>
      <c r="F283" s="49" t="s">
        <v>223</v>
      </c>
      <c r="G283" s="50">
        <v>1</v>
      </c>
      <c r="H283" s="46" t="s">
        <v>115</v>
      </c>
      <c r="I283" s="85" t="s">
        <v>116</v>
      </c>
      <c r="J283" s="52">
        <v>3</v>
      </c>
      <c r="K283" s="53">
        <v>2580000</v>
      </c>
      <c r="L283" s="54">
        <v>0</v>
      </c>
      <c r="M283" s="54">
        <v>0</v>
      </c>
      <c r="N283" s="53">
        <f>K283+L283-M283</f>
        <v>2580000</v>
      </c>
      <c r="O283" s="54">
        <v>0</v>
      </c>
      <c r="P283" s="54">
        <v>0</v>
      </c>
      <c r="Q283" s="54">
        <v>0</v>
      </c>
      <c r="R283" s="53">
        <f t="shared" si="167"/>
        <v>2580000</v>
      </c>
      <c r="S283" s="54">
        <f>68851.32+410988.91+212566.3</f>
        <v>692406.53</v>
      </c>
      <c r="T283" s="55">
        <f t="shared" ref="T283" si="174">S283/R283</f>
        <v>0.26837462403100776</v>
      </c>
      <c r="U283" s="54">
        <f>68851.32+410988.91+212566.3</f>
        <v>692406.53</v>
      </c>
      <c r="V283" s="55">
        <f t="shared" si="154"/>
        <v>0.26837462403100776</v>
      </c>
      <c r="W283" s="54">
        <f>68851.32+410988.91+212566.3</f>
        <v>692406.53</v>
      </c>
      <c r="X283" s="56">
        <f t="shared" si="165"/>
        <v>0.26837462403100776</v>
      </c>
      <c r="Y283" s="57"/>
    </row>
    <row r="284" spans="1:25" s="41" customFormat="1" ht="9" customHeight="1" x14ac:dyDescent="0.2">
      <c r="A284" s="59"/>
      <c r="B284" s="60"/>
      <c r="C284" s="61"/>
      <c r="D284" s="62"/>
      <c r="E284" s="63"/>
      <c r="F284" s="64"/>
      <c r="G284" s="65"/>
      <c r="H284" s="61"/>
      <c r="I284" s="66"/>
      <c r="J284" s="67"/>
      <c r="K284" s="68"/>
      <c r="L284" s="69"/>
      <c r="M284" s="69"/>
      <c r="N284" s="68"/>
      <c r="O284" s="69"/>
      <c r="P284" s="69"/>
      <c r="Q284" s="69"/>
      <c r="R284" s="68"/>
      <c r="S284" s="69"/>
      <c r="T284" s="70"/>
      <c r="U284" s="69"/>
      <c r="V284" s="70"/>
      <c r="W284" s="69"/>
      <c r="X284" s="71"/>
    </row>
    <row r="285" spans="1:25" s="95" customFormat="1" ht="39" customHeight="1" x14ac:dyDescent="0.2">
      <c r="A285" s="93" t="s">
        <v>113</v>
      </c>
      <c r="B285" s="186" t="s">
        <v>114</v>
      </c>
      <c r="C285" s="187"/>
      <c r="D285" s="73" t="s">
        <v>224</v>
      </c>
      <c r="E285" s="96" t="s">
        <v>62</v>
      </c>
      <c r="F285" s="186" t="s">
        <v>225</v>
      </c>
      <c r="G285" s="188"/>
      <c r="H285" s="188"/>
      <c r="I285" s="188"/>
      <c r="J285" s="187"/>
      <c r="K285" s="75">
        <f>SUM(K286:K288)</f>
        <v>313220</v>
      </c>
      <c r="L285" s="75">
        <f t="shared" ref="L285:S285" si="175">SUM(L286:L288)</f>
        <v>28560</v>
      </c>
      <c r="M285" s="75">
        <f t="shared" si="175"/>
        <v>0</v>
      </c>
      <c r="N285" s="75">
        <f t="shared" si="175"/>
        <v>341780</v>
      </c>
      <c r="O285" s="75">
        <f t="shared" si="175"/>
        <v>0</v>
      </c>
      <c r="P285" s="75">
        <f t="shared" si="175"/>
        <v>0</v>
      </c>
      <c r="Q285" s="75">
        <f t="shared" si="175"/>
        <v>0</v>
      </c>
      <c r="R285" s="75">
        <f t="shared" si="175"/>
        <v>341780</v>
      </c>
      <c r="S285" s="75">
        <f t="shared" si="175"/>
        <v>24235.18</v>
      </c>
      <c r="T285" s="76">
        <f>S285/R285</f>
        <v>7.0908713207326349E-2</v>
      </c>
      <c r="U285" s="75">
        <f>SUM(U286:U288)</f>
        <v>23098.260000000002</v>
      </c>
      <c r="V285" s="76">
        <f t="shared" ref="V285:V286" si="176">U285/R285</f>
        <v>6.7582245889168474E-2</v>
      </c>
      <c r="W285" s="75">
        <f>SUM(W286:W288)</f>
        <v>23098.260000000002</v>
      </c>
      <c r="X285" s="77">
        <f t="shared" ref="X285:X286" si="177">W285/R285</f>
        <v>6.7582245889168474E-2</v>
      </c>
      <c r="Y285" s="94"/>
    </row>
    <row r="286" spans="1:25" s="58" customFormat="1" ht="39" customHeight="1" x14ac:dyDescent="0.2">
      <c r="A286" s="81" t="s">
        <v>113</v>
      </c>
      <c r="B286" s="45" t="s">
        <v>114</v>
      </c>
      <c r="C286" s="46" t="s">
        <v>97</v>
      </c>
      <c r="D286" s="47" t="s">
        <v>224</v>
      </c>
      <c r="E286" s="48" t="s">
        <v>62</v>
      </c>
      <c r="F286" s="49" t="s">
        <v>225</v>
      </c>
      <c r="G286" s="50">
        <v>1</v>
      </c>
      <c r="H286" s="46" t="s">
        <v>49</v>
      </c>
      <c r="I286" s="51" t="s">
        <v>50</v>
      </c>
      <c r="J286" s="52">
        <v>4</v>
      </c>
      <c r="K286" s="53">
        <v>20000</v>
      </c>
      <c r="L286" s="54">
        <v>0</v>
      </c>
      <c r="M286" s="54">
        <v>0</v>
      </c>
      <c r="N286" s="53">
        <f>K286+L286-M286</f>
        <v>20000</v>
      </c>
      <c r="O286" s="54">
        <v>0</v>
      </c>
      <c r="P286" s="54">
        <v>0</v>
      </c>
      <c r="Q286" s="54">
        <v>0</v>
      </c>
      <c r="R286" s="53">
        <f>N286-O286+P286+Q286</f>
        <v>20000</v>
      </c>
      <c r="S286" s="54">
        <v>0</v>
      </c>
      <c r="T286" s="55">
        <f>S286/R286</f>
        <v>0</v>
      </c>
      <c r="U286" s="54">
        <v>0</v>
      </c>
      <c r="V286" s="55">
        <f t="shared" si="176"/>
        <v>0</v>
      </c>
      <c r="W286" s="54">
        <v>0</v>
      </c>
      <c r="X286" s="56">
        <f t="shared" si="177"/>
        <v>0</v>
      </c>
      <c r="Y286" s="57"/>
    </row>
    <row r="287" spans="1:25" s="58" customFormat="1" ht="39" customHeight="1" x14ac:dyDescent="0.2">
      <c r="A287" s="81" t="s">
        <v>113</v>
      </c>
      <c r="B287" s="45" t="s">
        <v>114</v>
      </c>
      <c r="C287" s="97" t="s">
        <v>97</v>
      </c>
      <c r="D287" s="47" t="s">
        <v>224</v>
      </c>
      <c r="E287" s="98" t="s">
        <v>62</v>
      </c>
      <c r="F287" s="99" t="s">
        <v>225</v>
      </c>
      <c r="G287" s="50">
        <v>1</v>
      </c>
      <c r="H287" s="46" t="s">
        <v>115</v>
      </c>
      <c r="I287" s="85" t="s">
        <v>116</v>
      </c>
      <c r="J287" s="52">
        <v>3</v>
      </c>
      <c r="K287" s="53">
        <v>293220</v>
      </c>
      <c r="L287" s="54">
        <v>0</v>
      </c>
      <c r="M287" s="54">
        <v>0</v>
      </c>
      <c r="N287" s="53">
        <f>K287+L287-M287</f>
        <v>293220</v>
      </c>
      <c r="O287" s="54">
        <v>0</v>
      </c>
      <c r="P287" s="54">
        <v>0</v>
      </c>
      <c r="Q287" s="54">
        <v>0</v>
      </c>
      <c r="R287" s="53">
        <f>N287-O287+P287+Q287</f>
        <v>293220</v>
      </c>
      <c r="S287" s="54">
        <f>17202.34+7032.84</f>
        <v>24235.18</v>
      </c>
      <c r="T287" s="55">
        <f>S287/R287</f>
        <v>8.2651865493486118E-2</v>
      </c>
      <c r="U287" s="54">
        <f>11088.7+12009.56</f>
        <v>23098.260000000002</v>
      </c>
      <c r="V287" s="55">
        <f t="shared" si="154"/>
        <v>7.8774503785553521E-2</v>
      </c>
      <c r="W287" s="54">
        <f>10258.68+12839.58</f>
        <v>23098.260000000002</v>
      </c>
      <c r="X287" s="56">
        <f t="shared" si="165"/>
        <v>7.8774503785553521E-2</v>
      </c>
      <c r="Y287" s="57"/>
    </row>
    <row r="288" spans="1:25" s="58" customFormat="1" ht="39" customHeight="1" x14ac:dyDescent="0.2">
      <c r="A288" s="81" t="s">
        <v>113</v>
      </c>
      <c r="B288" s="45" t="s">
        <v>114</v>
      </c>
      <c r="C288" s="97" t="s">
        <v>97</v>
      </c>
      <c r="D288" s="47" t="s">
        <v>224</v>
      </c>
      <c r="E288" s="98" t="s">
        <v>62</v>
      </c>
      <c r="F288" s="99" t="s">
        <v>225</v>
      </c>
      <c r="G288" s="50">
        <v>1</v>
      </c>
      <c r="H288" s="162" t="s">
        <v>273</v>
      </c>
      <c r="I288" s="163" t="s">
        <v>274</v>
      </c>
      <c r="J288" s="52">
        <v>3</v>
      </c>
      <c r="K288" s="53">
        <v>0</v>
      </c>
      <c r="L288" s="54">
        <f>28560</f>
        <v>28560</v>
      </c>
      <c r="M288" s="54">
        <v>0</v>
      </c>
      <c r="N288" s="53">
        <f>K288+L288-M288</f>
        <v>28560</v>
      </c>
      <c r="O288" s="54">
        <v>0</v>
      </c>
      <c r="P288" s="54">
        <v>0</v>
      </c>
      <c r="Q288" s="54">
        <v>0</v>
      </c>
      <c r="R288" s="53">
        <f>N288-O288+P288+Q288</f>
        <v>28560</v>
      </c>
      <c r="S288" s="54">
        <v>0</v>
      </c>
      <c r="T288" s="55">
        <f>S288/R288</f>
        <v>0</v>
      </c>
      <c r="U288" s="54">
        <v>0</v>
      </c>
      <c r="V288" s="55">
        <f t="shared" si="154"/>
        <v>0</v>
      </c>
      <c r="W288" s="54">
        <v>0</v>
      </c>
      <c r="X288" s="56">
        <f t="shared" si="165"/>
        <v>0</v>
      </c>
      <c r="Y288" s="57"/>
    </row>
    <row r="289" spans="1:25" s="41" customFormat="1" ht="9" customHeight="1" x14ac:dyDescent="0.2">
      <c r="A289" s="59"/>
      <c r="B289" s="60"/>
      <c r="C289" s="61"/>
      <c r="D289" s="62"/>
      <c r="E289" s="63"/>
      <c r="F289" s="64"/>
      <c r="G289" s="65"/>
      <c r="H289" s="61"/>
      <c r="I289" s="66"/>
      <c r="J289" s="67"/>
      <c r="K289" s="68"/>
      <c r="L289" s="69"/>
      <c r="M289" s="69"/>
      <c r="N289" s="68"/>
      <c r="O289" s="69"/>
      <c r="P289" s="69"/>
      <c r="Q289" s="69"/>
      <c r="R289" s="68"/>
      <c r="S289" s="69"/>
      <c r="T289" s="70"/>
      <c r="U289" s="69"/>
      <c r="V289" s="70"/>
      <c r="W289" s="69"/>
      <c r="X289" s="71"/>
    </row>
    <row r="290" spans="1:25" s="95" customFormat="1" ht="39" customHeight="1" x14ac:dyDescent="0.2">
      <c r="A290" s="100" t="s">
        <v>113</v>
      </c>
      <c r="B290" s="186" t="s">
        <v>114</v>
      </c>
      <c r="C290" s="187"/>
      <c r="D290" s="73" t="s">
        <v>226</v>
      </c>
      <c r="E290" s="96" t="s">
        <v>62</v>
      </c>
      <c r="F290" s="186" t="s">
        <v>96</v>
      </c>
      <c r="G290" s="188"/>
      <c r="H290" s="188"/>
      <c r="I290" s="188"/>
      <c r="J290" s="187"/>
      <c r="K290" s="75">
        <f t="shared" ref="K290:S290" si="178">SUM(K291:K291)</f>
        <v>400000</v>
      </c>
      <c r="L290" s="75">
        <f t="shared" si="178"/>
        <v>0</v>
      </c>
      <c r="M290" s="75">
        <f t="shared" si="178"/>
        <v>0</v>
      </c>
      <c r="N290" s="75">
        <f t="shared" si="178"/>
        <v>400000</v>
      </c>
      <c r="O290" s="75">
        <f t="shared" si="178"/>
        <v>0</v>
      </c>
      <c r="P290" s="75">
        <f t="shared" si="178"/>
        <v>0</v>
      </c>
      <c r="Q290" s="75">
        <f t="shared" si="178"/>
        <v>0</v>
      </c>
      <c r="R290" s="75">
        <f t="shared" si="178"/>
        <v>400000</v>
      </c>
      <c r="S290" s="75">
        <f t="shared" si="178"/>
        <v>0</v>
      </c>
      <c r="T290" s="76">
        <f>S290/R290</f>
        <v>0</v>
      </c>
      <c r="U290" s="75">
        <f>SUM(U291:U291)</f>
        <v>0</v>
      </c>
      <c r="V290" s="76">
        <f t="shared" ref="V290" si="179">U290/R290</f>
        <v>0</v>
      </c>
      <c r="W290" s="75">
        <f>SUM(W291:W291)</f>
        <v>0</v>
      </c>
      <c r="X290" s="77">
        <f t="shared" ref="X290" si="180">W290/R290</f>
        <v>0</v>
      </c>
      <c r="Y290" s="94"/>
    </row>
    <row r="291" spans="1:25" s="58" customFormat="1" ht="39" customHeight="1" x14ac:dyDescent="0.2">
      <c r="A291" s="44" t="s">
        <v>113</v>
      </c>
      <c r="B291" s="45" t="s">
        <v>114</v>
      </c>
      <c r="C291" s="46" t="s">
        <v>97</v>
      </c>
      <c r="D291" s="47" t="s">
        <v>226</v>
      </c>
      <c r="E291" s="48" t="s">
        <v>62</v>
      </c>
      <c r="F291" s="45" t="s">
        <v>96</v>
      </c>
      <c r="G291" s="83">
        <v>1</v>
      </c>
      <c r="H291" s="46" t="s">
        <v>115</v>
      </c>
      <c r="I291" s="85" t="s">
        <v>116</v>
      </c>
      <c r="J291" s="84">
        <v>3</v>
      </c>
      <c r="K291" s="54">
        <v>400000</v>
      </c>
      <c r="L291" s="54">
        <v>0</v>
      </c>
      <c r="M291" s="54">
        <v>0</v>
      </c>
      <c r="N291" s="53">
        <f t="shared" ref="N291:N297" si="181">K291+L291-M291</f>
        <v>400000</v>
      </c>
      <c r="O291" s="54">
        <v>0</v>
      </c>
      <c r="P291" s="54">
        <v>0</v>
      </c>
      <c r="Q291" s="54">
        <v>0</v>
      </c>
      <c r="R291" s="53">
        <f t="shared" si="167"/>
        <v>400000</v>
      </c>
      <c r="S291" s="54">
        <v>0</v>
      </c>
      <c r="T291" s="55">
        <f>S291/R291</f>
        <v>0</v>
      </c>
      <c r="U291" s="54">
        <v>0</v>
      </c>
      <c r="V291" s="55">
        <f t="shared" si="154"/>
        <v>0</v>
      </c>
      <c r="W291" s="54">
        <v>0</v>
      </c>
      <c r="X291" s="56">
        <f t="shared" si="165"/>
        <v>0</v>
      </c>
      <c r="Y291" s="57"/>
    </row>
    <row r="292" spans="1:25" s="41" customFormat="1" ht="9" customHeight="1" x14ac:dyDescent="0.2">
      <c r="A292" s="59"/>
      <c r="B292" s="60"/>
      <c r="C292" s="61"/>
      <c r="D292" s="62"/>
      <c r="E292" s="63"/>
      <c r="F292" s="64"/>
      <c r="G292" s="65"/>
      <c r="H292" s="61"/>
      <c r="I292" s="66"/>
      <c r="J292" s="67"/>
      <c r="K292" s="68"/>
      <c r="L292" s="69"/>
      <c r="M292" s="69"/>
      <c r="N292" s="68"/>
      <c r="O292" s="69"/>
      <c r="P292" s="69"/>
      <c r="Q292" s="69"/>
      <c r="R292" s="68"/>
      <c r="S292" s="69"/>
      <c r="T292" s="70"/>
      <c r="U292" s="69"/>
      <c r="V292" s="70"/>
      <c r="W292" s="69"/>
      <c r="X292" s="71"/>
    </row>
    <row r="293" spans="1:25" s="95" customFormat="1" ht="39" customHeight="1" x14ac:dyDescent="0.2">
      <c r="A293" s="93" t="s">
        <v>113</v>
      </c>
      <c r="B293" s="186" t="s">
        <v>114</v>
      </c>
      <c r="C293" s="187"/>
      <c r="D293" s="73" t="s">
        <v>227</v>
      </c>
      <c r="E293" s="96" t="s">
        <v>62</v>
      </c>
      <c r="F293" s="186" t="s">
        <v>99</v>
      </c>
      <c r="G293" s="188"/>
      <c r="H293" s="188"/>
      <c r="I293" s="188"/>
      <c r="J293" s="187"/>
      <c r="K293" s="75">
        <f>K294</f>
        <v>196307</v>
      </c>
      <c r="L293" s="75">
        <f t="shared" ref="L293:S293" si="182">L294</f>
        <v>0</v>
      </c>
      <c r="M293" s="75">
        <f t="shared" si="182"/>
        <v>0</v>
      </c>
      <c r="N293" s="75">
        <f t="shared" si="182"/>
        <v>196307</v>
      </c>
      <c r="O293" s="75">
        <f t="shared" si="182"/>
        <v>0</v>
      </c>
      <c r="P293" s="75">
        <f t="shared" si="182"/>
        <v>0</v>
      </c>
      <c r="Q293" s="75">
        <f t="shared" si="182"/>
        <v>0</v>
      </c>
      <c r="R293" s="75">
        <f t="shared" si="182"/>
        <v>196307</v>
      </c>
      <c r="S293" s="75">
        <f t="shared" si="182"/>
        <v>0</v>
      </c>
      <c r="T293" s="76">
        <f>S293/R293</f>
        <v>0</v>
      </c>
      <c r="U293" s="75">
        <f>U294</f>
        <v>0</v>
      </c>
      <c r="V293" s="76">
        <f t="shared" ref="V293" si="183">U293/R293</f>
        <v>0</v>
      </c>
      <c r="W293" s="75">
        <f>W294</f>
        <v>0</v>
      </c>
      <c r="X293" s="77">
        <f t="shared" ref="X293" si="184">W293/R293</f>
        <v>0</v>
      </c>
      <c r="Y293" s="94"/>
    </row>
    <row r="294" spans="1:25" s="58" customFormat="1" ht="39" customHeight="1" x14ac:dyDescent="0.2">
      <c r="A294" s="81" t="s">
        <v>113</v>
      </c>
      <c r="B294" s="45" t="s">
        <v>114</v>
      </c>
      <c r="C294" s="46" t="s">
        <v>97</v>
      </c>
      <c r="D294" s="47" t="s">
        <v>227</v>
      </c>
      <c r="E294" s="48" t="s">
        <v>62</v>
      </c>
      <c r="F294" s="49" t="s">
        <v>99</v>
      </c>
      <c r="G294" s="50">
        <v>1</v>
      </c>
      <c r="H294" s="46" t="s">
        <v>115</v>
      </c>
      <c r="I294" s="85" t="s">
        <v>116</v>
      </c>
      <c r="J294" s="52">
        <v>3</v>
      </c>
      <c r="K294" s="53">
        <v>196307</v>
      </c>
      <c r="L294" s="54">
        <v>0</v>
      </c>
      <c r="M294" s="54">
        <v>0</v>
      </c>
      <c r="N294" s="53">
        <f t="shared" si="181"/>
        <v>196307</v>
      </c>
      <c r="O294" s="54">
        <v>0</v>
      </c>
      <c r="P294" s="54">
        <v>0</v>
      </c>
      <c r="Q294" s="54">
        <v>0</v>
      </c>
      <c r="R294" s="53">
        <f t="shared" si="167"/>
        <v>196307</v>
      </c>
      <c r="S294" s="54">
        <v>0</v>
      </c>
      <c r="T294" s="55">
        <f>S294/R294</f>
        <v>0</v>
      </c>
      <c r="U294" s="54">
        <v>0</v>
      </c>
      <c r="V294" s="55">
        <f t="shared" si="154"/>
        <v>0</v>
      </c>
      <c r="W294" s="54">
        <v>0</v>
      </c>
      <c r="X294" s="56">
        <f t="shared" si="165"/>
        <v>0</v>
      </c>
      <c r="Y294" s="57"/>
    </row>
    <row r="295" spans="1:25" s="41" customFormat="1" ht="9" customHeight="1" x14ac:dyDescent="0.2">
      <c r="A295" s="59"/>
      <c r="B295" s="60"/>
      <c r="C295" s="61"/>
      <c r="D295" s="62"/>
      <c r="E295" s="63"/>
      <c r="F295" s="64"/>
      <c r="G295" s="65"/>
      <c r="H295" s="61"/>
      <c r="I295" s="66"/>
      <c r="J295" s="67"/>
      <c r="K295" s="68"/>
      <c r="L295" s="69"/>
      <c r="M295" s="69"/>
      <c r="N295" s="68"/>
      <c r="O295" s="69"/>
      <c r="P295" s="69"/>
      <c r="Q295" s="69"/>
      <c r="R295" s="68"/>
      <c r="S295" s="69"/>
      <c r="T295" s="70"/>
      <c r="U295" s="69"/>
      <c r="V295" s="70"/>
      <c r="W295" s="69"/>
      <c r="X295" s="71"/>
    </row>
    <row r="296" spans="1:25" s="95" customFormat="1" ht="39" customHeight="1" x14ac:dyDescent="0.2">
      <c r="A296" s="93" t="s">
        <v>113</v>
      </c>
      <c r="B296" s="186" t="s">
        <v>114</v>
      </c>
      <c r="C296" s="187"/>
      <c r="D296" s="73" t="s">
        <v>228</v>
      </c>
      <c r="E296" s="96" t="s">
        <v>62</v>
      </c>
      <c r="F296" s="186" t="s">
        <v>101</v>
      </c>
      <c r="G296" s="188"/>
      <c r="H296" s="188"/>
      <c r="I296" s="188"/>
      <c r="J296" s="187"/>
      <c r="K296" s="75">
        <f>K297</f>
        <v>203693</v>
      </c>
      <c r="L296" s="75">
        <f t="shared" ref="L296:S296" si="185">L297</f>
        <v>0</v>
      </c>
      <c r="M296" s="75">
        <f t="shared" si="185"/>
        <v>0</v>
      </c>
      <c r="N296" s="75">
        <f t="shared" si="185"/>
        <v>203693</v>
      </c>
      <c r="O296" s="75">
        <f t="shared" si="185"/>
        <v>0</v>
      </c>
      <c r="P296" s="75">
        <f t="shared" si="185"/>
        <v>0</v>
      </c>
      <c r="Q296" s="75">
        <f t="shared" si="185"/>
        <v>0</v>
      </c>
      <c r="R296" s="75">
        <f t="shared" si="185"/>
        <v>203693</v>
      </c>
      <c r="S296" s="75">
        <f t="shared" si="185"/>
        <v>0</v>
      </c>
      <c r="T296" s="76">
        <f t="shared" ref="T296:T303" si="186">S296/R296</f>
        <v>0</v>
      </c>
      <c r="U296" s="75">
        <f>U297</f>
        <v>0</v>
      </c>
      <c r="V296" s="101">
        <f t="shared" ref="V296" si="187">U296/R296</f>
        <v>0</v>
      </c>
      <c r="W296" s="75">
        <f>W297</f>
        <v>0</v>
      </c>
      <c r="X296" s="77">
        <f t="shared" ref="X296" si="188">W296/R296</f>
        <v>0</v>
      </c>
      <c r="Y296" s="94"/>
    </row>
    <row r="297" spans="1:25" s="58" customFormat="1" ht="39" customHeight="1" x14ac:dyDescent="0.2">
      <c r="A297" s="81" t="s">
        <v>113</v>
      </c>
      <c r="B297" s="45" t="s">
        <v>114</v>
      </c>
      <c r="C297" s="46" t="s">
        <v>97</v>
      </c>
      <c r="D297" s="47" t="s">
        <v>228</v>
      </c>
      <c r="E297" s="48" t="s">
        <v>62</v>
      </c>
      <c r="F297" s="49" t="s">
        <v>101</v>
      </c>
      <c r="G297" s="50">
        <v>1</v>
      </c>
      <c r="H297" s="46" t="s">
        <v>115</v>
      </c>
      <c r="I297" s="85" t="s">
        <v>116</v>
      </c>
      <c r="J297" s="52">
        <v>3</v>
      </c>
      <c r="K297" s="53">
        <v>203693</v>
      </c>
      <c r="L297" s="54">
        <v>0</v>
      </c>
      <c r="M297" s="54">
        <v>0</v>
      </c>
      <c r="N297" s="53">
        <f t="shared" si="181"/>
        <v>203693</v>
      </c>
      <c r="O297" s="54">
        <v>0</v>
      </c>
      <c r="P297" s="54">
        <v>0</v>
      </c>
      <c r="Q297" s="54">
        <v>0</v>
      </c>
      <c r="R297" s="53">
        <f t="shared" si="167"/>
        <v>203693</v>
      </c>
      <c r="S297" s="54">
        <v>0</v>
      </c>
      <c r="T297" s="55">
        <f t="shared" si="186"/>
        <v>0</v>
      </c>
      <c r="U297" s="54">
        <v>0</v>
      </c>
      <c r="V297" s="55">
        <f t="shared" si="154"/>
        <v>0</v>
      </c>
      <c r="W297" s="54">
        <v>0</v>
      </c>
      <c r="X297" s="56">
        <f t="shared" si="165"/>
        <v>0</v>
      </c>
      <c r="Y297" s="57"/>
    </row>
    <row r="298" spans="1:25" s="41" customFormat="1" ht="9" customHeight="1" x14ac:dyDescent="0.2">
      <c r="A298" s="59"/>
      <c r="B298" s="60"/>
      <c r="C298" s="61"/>
      <c r="D298" s="62"/>
      <c r="E298" s="63"/>
      <c r="F298" s="64"/>
      <c r="G298" s="65"/>
      <c r="H298" s="61"/>
      <c r="I298" s="66"/>
      <c r="J298" s="67"/>
      <c r="K298" s="68"/>
      <c r="L298" s="69"/>
      <c r="M298" s="69"/>
      <c r="N298" s="68"/>
      <c r="O298" s="69"/>
      <c r="P298" s="69"/>
      <c r="Q298" s="69"/>
      <c r="R298" s="68"/>
      <c r="S298" s="69"/>
      <c r="T298" s="102"/>
      <c r="U298" s="69"/>
      <c r="V298" s="102"/>
      <c r="W298" s="69"/>
      <c r="X298" s="103"/>
    </row>
    <row r="299" spans="1:25" s="95" customFormat="1" ht="39" customHeight="1" x14ac:dyDescent="0.2">
      <c r="A299" s="93" t="s">
        <v>113</v>
      </c>
      <c r="B299" s="186" t="s">
        <v>114</v>
      </c>
      <c r="C299" s="187"/>
      <c r="D299" s="73" t="s">
        <v>229</v>
      </c>
      <c r="E299" s="96" t="s">
        <v>62</v>
      </c>
      <c r="F299" s="186" t="s">
        <v>109</v>
      </c>
      <c r="G299" s="188"/>
      <c r="H299" s="188"/>
      <c r="I299" s="188"/>
      <c r="J299" s="187"/>
      <c r="K299" s="75">
        <f>K300</f>
        <v>400000</v>
      </c>
      <c r="L299" s="75">
        <f t="shared" ref="L299:S299" si="189">L300</f>
        <v>0</v>
      </c>
      <c r="M299" s="75">
        <f t="shared" si="189"/>
        <v>0</v>
      </c>
      <c r="N299" s="75">
        <f t="shared" si="189"/>
        <v>400000</v>
      </c>
      <c r="O299" s="75">
        <f t="shared" si="189"/>
        <v>0</v>
      </c>
      <c r="P299" s="75">
        <f t="shared" si="189"/>
        <v>0</v>
      </c>
      <c r="Q299" s="75">
        <f t="shared" si="189"/>
        <v>0</v>
      </c>
      <c r="R299" s="75">
        <f t="shared" si="189"/>
        <v>400000</v>
      </c>
      <c r="S299" s="75">
        <f t="shared" si="189"/>
        <v>0</v>
      </c>
      <c r="T299" s="76">
        <f t="shared" ref="T299:T300" si="190">S299/R299</f>
        <v>0</v>
      </c>
      <c r="U299" s="75">
        <f>U300</f>
        <v>0</v>
      </c>
      <c r="V299" s="101">
        <f t="shared" ref="V299:V300" si="191">U299/R299</f>
        <v>0</v>
      </c>
      <c r="W299" s="75">
        <f>W300</f>
        <v>0</v>
      </c>
      <c r="X299" s="77">
        <f t="shared" ref="X299:X300" si="192">W299/R299</f>
        <v>0</v>
      </c>
      <c r="Y299" s="94"/>
    </row>
    <row r="300" spans="1:25" s="58" customFormat="1" ht="39" customHeight="1" thickBot="1" x14ac:dyDescent="0.25">
      <c r="A300" s="81" t="s">
        <v>113</v>
      </c>
      <c r="B300" s="45" t="s">
        <v>114</v>
      </c>
      <c r="C300" s="46" t="s">
        <v>97</v>
      </c>
      <c r="D300" s="47" t="s">
        <v>229</v>
      </c>
      <c r="E300" s="48" t="s">
        <v>62</v>
      </c>
      <c r="F300" s="49" t="s">
        <v>109</v>
      </c>
      <c r="G300" s="50">
        <v>1</v>
      </c>
      <c r="H300" s="46" t="s">
        <v>115</v>
      </c>
      <c r="I300" s="85" t="s">
        <v>116</v>
      </c>
      <c r="J300" s="52">
        <v>3</v>
      </c>
      <c r="K300" s="53">
        <v>400000</v>
      </c>
      <c r="L300" s="54">
        <v>0</v>
      </c>
      <c r="M300" s="54">
        <v>0</v>
      </c>
      <c r="N300" s="53">
        <f t="shared" ref="N300" si="193">K300+L300-M300</f>
        <v>400000</v>
      </c>
      <c r="O300" s="54">
        <v>0</v>
      </c>
      <c r="P300" s="54">
        <v>0</v>
      </c>
      <c r="Q300" s="54">
        <v>0</v>
      </c>
      <c r="R300" s="53">
        <f t="shared" ref="R300" si="194">N300-O300+P300+Q300</f>
        <v>400000</v>
      </c>
      <c r="S300" s="54">
        <v>0</v>
      </c>
      <c r="T300" s="55">
        <f t="shared" si="190"/>
        <v>0</v>
      </c>
      <c r="U300" s="54">
        <v>0</v>
      </c>
      <c r="V300" s="104">
        <f t="shared" si="191"/>
        <v>0</v>
      </c>
      <c r="W300" s="54">
        <v>0</v>
      </c>
      <c r="X300" s="56">
        <f t="shared" si="192"/>
        <v>0</v>
      </c>
      <c r="Y300" s="57"/>
    </row>
    <row r="301" spans="1:25" s="95" customFormat="1" ht="39" customHeight="1" thickBot="1" x14ac:dyDescent="0.25">
      <c r="A301" s="189" t="s">
        <v>230</v>
      </c>
      <c r="B301" s="190"/>
      <c r="C301" s="190"/>
      <c r="D301" s="190"/>
      <c r="E301" s="190"/>
      <c r="F301" s="190"/>
      <c r="G301" s="190"/>
      <c r="H301" s="190"/>
      <c r="I301" s="190"/>
      <c r="J301" s="191"/>
      <c r="K301" s="78">
        <f>K97+K103+K107+K111+K115+K118+K121+K124+K128+K134+K139+K144+K150+K154+K158+K164+K170+K177+K180+K184+K188+K191+K195+K199+K202+K205+K208+K212+K216+K219+K223+K227+K238+K245+K252+K256+K259+K263+K268+K272+K275+K279+K282+K285+K290+K293+K296+K299</f>
        <v>167830997</v>
      </c>
      <c r="L301" s="78">
        <f t="shared" ref="L301:U301" si="195">L97+L103+L107+L111+L115+L118+L121+L124+L128+L134+L139+L144+L150+L154+L158+L164+L170+L177+L180+L184+L188+L191+L195+L199+L202+L205+L208+L212+L216+L219+L223+L227+L238+L245+L252+L256+L259+L263+L268+L272+L275+L279+L282+L285+L290+L293+L296+L299</f>
        <v>6021868.8099999996</v>
      </c>
      <c r="M301" s="78">
        <f t="shared" si="195"/>
        <v>0</v>
      </c>
      <c r="N301" s="78">
        <f t="shared" si="195"/>
        <v>173852865.81</v>
      </c>
      <c r="O301" s="78">
        <f t="shared" si="195"/>
        <v>0</v>
      </c>
      <c r="P301" s="78">
        <f t="shared" si="195"/>
        <v>0</v>
      </c>
      <c r="Q301" s="78">
        <f t="shared" si="195"/>
        <v>-243123.09000000003</v>
      </c>
      <c r="R301" s="78">
        <f t="shared" si="195"/>
        <v>173609742.72</v>
      </c>
      <c r="S301" s="78">
        <f t="shared" si="195"/>
        <v>18972525.200000003</v>
      </c>
      <c r="T301" s="79">
        <f t="shared" si="186"/>
        <v>0.10928260651016074</v>
      </c>
      <c r="U301" s="78">
        <f t="shared" si="195"/>
        <v>15283202.169999998</v>
      </c>
      <c r="V301" s="79">
        <f t="shared" si="154"/>
        <v>8.803193836102241E-2</v>
      </c>
      <c r="W301" s="78">
        <f>W97+W103+W107+W111+W115+W118+W121+W124+W128+W134+W139+W144+W150+W154+W158+W164+W170+W177+W180+W184+W188+W191+W195+W199+W202+W205+W208+W212+W216+W219+W223+W227+W238+W245+W252+W256+W259+W263+W268+W272+W275+W279+W282+W285+W290+W293+W296+W299</f>
        <v>15073079.539999997</v>
      </c>
      <c r="X301" s="80">
        <f>W301/R301</f>
        <v>8.6821622472593896E-2</v>
      </c>
      <c r="Y301" s="94"/>
    </row>
    <row r="302" spans="1:25" s="41" customFormat="1" ht="12" customHeight="1" thickBot="1" x14ac:dyDescent="0.25">
      <c r="A302" s="161"/>
      <c r="B302" s="60"/>
      <c r="C302" s="61"/>
      <c r="D302" s="62"/>
      <c r="E302" s="63"/>
      <c r="F302" s="64"/>
      <c r="G302" s="65"/>
      <c r="H302" s="61"/>
      <c r="I302" s="66"/>
      <c r="J302" s="67"/>
      <c r="K302" s="68"/>
      <c r="L302" s="69"/>
      <c r="M302" s="69"/>
      <c r="N302" s="68"/>
      <c r="O302" s="69"/>
      <c r="P302" s="69"/>
      <c r="Q302" s="69"/>
      <c r="R302" s="68"/>
      <c r="S302" s="69"/>
      <c r="T302" s="70"/>
      <c r="U302" s="69"/>
      <c r="V302" s="70"/>
      <c r="W302" s="69"/>
      <c r="X302" s="70"/>
    </row>
    <row r="303" spans="1:25" s="95" customFormat="1" ht="39" customHeight="1" thickBot="1" x14ac:dyDescent="0.25">
      <c r="A303" s="192" t="s">
        <v>231</v>
      </c>
      <c r="B303" s="193"/>
      <c r="C303" s="193"/>
      <c r="D303" s="193"/>
      <c r="E303" s="193"/>
      <c r="F303" s="193"/>
      <c r="G303" s="193"/>
      <c r="H303" s="193"/>
      <c r="I303" s="193"/>
      <c r="J303" s="194"/>
      <c r="K303" s="78">
        <f t="shared" ref="K303:S303" si="196">K95+K301</f>
        <v>1352349776</v>
      </c>
      <c r="L303" s="78">
        <f t="shared" si="196"/>
        <v>12120443.809999999</v>
      </c>
      <c r="M303" s="78">
        <f t="shared" si="196"/>
        <v>6000000</v>
      </c>
      <c r="N303" s="78">
        <f t="shared" si="196"/>
        <v>1358470219.8099999</v>
      </c>
      <c r="O303" s="78">
        <f t="shared" si="196"/>
        <v>0</v>
      </c>
      <c r="P303" s="78">
        <f t="shared" si="196"/>
        <v>0</v>
      </c>
      <c r="Q303" s="78">
        <f t="shared" si="196"/>
        <v>-4490321.34</v>
      </c>
      <c r="R303" s="78">
        <f t="shared" si="196"/>
        <v>1353979898.47</v>
      </c>
      <c r="S303" s="78">
        <f t="shared" si="196"/>
        <v>279443676.72000003</v>
      </c>
      <c r="T303" s="79">
        <f t="shared" si="186"/>
        <v>0.20638687253464541</v>
      </c>
      <c r="U303" s="78">
        <f>U95+U301</f>
        <v>274841181.87</v>
      </c>
      <c r="V303" s="79">
        <f t="shared" si="154"/>
        <v>0.20298763828072416</v>
      </c>
      <c r="W303" s="78">
        <f>W95+W301</f>
        <v>261606850.41999996</v>
      </c>
      <c r="X303" s="80">
        <f>W303/R303</f>
        <v>0.19321324542234061</v>
      </c>
      <c r="Y303" s="94"/>
    </row>
    <row r="304" spans="1:25" s="105" customFormat="1" ht="16.5" customHeight="1" x14ac:dyDescent="0.2">
      <c r="A304" s="105" t="s">
        <v>232</v>
      </c>
      <c r="B304" s="106"/>
      <c r="E304" s="107"/>
      <c r="F304" s="108"/>
      <c r="G304" s="109"/>
      <c r="H304" s="109"/>
      <c r="I304" s="172"/>
      <c r="J304" s="109"/>
      <c r="K304" s="109"/>
      <c r="L304" s="109"/>
      <c r="M304" s="109"/>
      <c r="N304" s="109"/>
      <c r="O304" s="109"/>
      <c r="P304" s="109"/>
      <c r="Q304" s="110"/>
      <c r="R304" s="109"/>
      <c r="S304" s="109"/>
      <c r="T304" s="109"/>
      <c r="U304" s="109"/>
    </row>
    <row r="305" spans="1:25" s="112" customFormat="1" ht="16.5" customHeight="1" x14ac:dyDescent="0.2">
      <c r="A305" s="185" t="s">
        <v>233</v>
      </c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  <c r="W305" s="185"/>
      <c r="X305" s="185"/>
      <c r="Y305" s="111"/>
    </row>
    <row r="306" spans="1:25" s="112" customFormat="1" ht="16.5" customHeight="1" x14ac:dyDescent="0.2">
      <c r="A306" s="179" t="s">
        <v>234</v>
      </c>
      <c r="B306" s="179"/>
      <c r="C306" s="179"/>
      <c r="D306" s="179"/>
      <c r="E306" s="179"/>
      <c r="F306" s="179"/>
      <c r="G306" s="179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179"/>
      <c r="W306" s="179"/>
      <c r="X306" s="179"/>
      <c r="Y306" s="111"/>
    </row>
    <row r="307" spans="1:25" s="112" customFormat="1" ht="16.5" customHeight="1" x14ac:dyDescent="0.2">
      <c r="A307" s="179" t="s">
        <v>235</v>
      </c>
      <c r="B307" s="179"/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11"/>
    </row>
    <row r="308" spans="1:25" ht="12.75" customHeight="1" x14ac:dyDescent="0.2">
      <c r="A308" s="113" t="s">
        <v>236</v>
      </c>
      <c r="B308" s="178" t="s">
        <v>237</v>
      </c>
      <c r="C308" s="178"/>
      <c r="D308" s="114" t="s">
        <v>238</v>
      </c>
      <c r="E308" s="182" t="s">
        <v>239</v>
      </c>
      <c r="F308" s="182"/>
      <c r="G308" s="183" t="s">
        <v>238</v>
      </c>
      <c r="H308" s="183"/>
      <c r="I308" s="182" t="s">
        <v>240</v>
      </c>
      <c r="J308" s="182"/>
      <c r="K308" s="182"/>
      <c r="L308" s="114" t="s">
        <v>238</v>
      </c>
      <c r="M308" s="182" t="s">
        <v>241</v>
      </c>
      <c r="N308" s="182"/>
      <c r="O308" s="182"/>
      <c r="P308" s="114"/>
      <c r="Q308" s="178"/>
      <c r="R308" s="178"/>
      <c r="S308" s="178"/>
      <c r="T308" s="178"/>
      <c r="U308" s="115"/>
      <c r="V308" s="116"/>
      <c r="W308" s="117"/>
      <c r="X308" s="118"/>
      <c r="Y308"/>
    </row>
    <row r="309" spans="1:25" ht="12.75" customHeight="1" x14ac:dyDescent="0.2">
      <c r="A309" s="113"/>
      <c r="B309" s="184" t="s">
        <v>242</v>
      </c>
      <c r="C309" s="184"/>
      <c r="D309" s="114" t="s">
        <v>238</v>
      </c>
      <c r="E309" s="182" t="s">
        <v>243</v>
      </c>
      <c r="F309" s="182"/>
      <c r="G309" s="183" t="s">
        <v>238</v>
      </c>
      <c r="H309" s="183"/>
      <c r="I309" s="182" t="s">
        <v>244</v>
      </c>
      <c r="J309" s="182"/>
      <c r="K309" s="182"/>
      <c r="L309" s="114" t="s">
        <v>238</v>
      </c>
      <c r="M309" s="182" t="s">
        <v>245</v>
      </c>
      <c r="N309" s="182"/>
      <c r="O309" s="182"/>
      <c r="P309" s="114"/>
      <c r="Q309" s="178"/>
      <c r="R309" s="178"/>
      <c r="S309" s="178"/>
      <c r="T309" s="178"/>
      <c r="U309" s="115"/>
      <c r="V309" s="116"/>
      <c r="W309" s="117"/>
      <c r="X309" s="118"/>
      <c r="Y309"/>
    </row>
    <row r="310" spans="1:25" ht="12.75" customHeight="1" x14ac:dyDescent="0.2">
      <c r="A310" s="113"/>
      <c r="B310" s="171"/>
      <c r="C310" s="171"/>
      <c r="D310" s="170" t="s">
        <v>238</v>
      </c>
      <c r="E310" s="182" t="s">
        <v>246</v>
      </c>
      <c r="F310" s="182"/>
      <c r="G310" s="183" t="s">
        <v>238</v>
      </c>
      <c r="H310" s="183"/>
      <c r="I310" s="182" t="s">
        <v>247</v>
      </c>
      <c r="J310" s="182"/>
      <c r="K310" s="182"/>
      <c r="L310" s="114" t="s">
        <v>238</v>
      </c>
      <c r="M310" s="182" t="s">
        <v>248</v>
      </c>
      <c r="N310" s="182"/>
      <c r="O310" s="182"/>
      <c r="P310" s="114"/>
      <c r="Q310" s="166"/>
      <c r="R310" s="166"/>
      <c r="S310" s="166"/>
      <c r="T310" s="166"/>
      <c r="U310" s="115"/>
      <c r="V310" s="116"/>
      <c r="W310" s="117"/>
      <c r="X310" s="118"/>
      <c r="Y310"/>
    </row>
    <row r="311" spans="1:25" s="112" customFormat="1" ht="16.5" customHeight="1" x14ac:dyDescent="0.2">
      <c r="A311" s="179" t="s">
        <v>249</v>
      </c>
      <c r="B311" s="179"/>
      <c r="C311" s="179"/>
      <c r="D311" s="179"/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  <c r="U311" s="179"/>
      <c r="V311" s="179"/>
      <c r="W311" s="179"/>
      <c r="X311" s="179"/>
      <c r="Y311" s="111"/>
    </row>
    <row r="312" spans="1:25" ht="12.75" customHeight="1" x14ac:dyDescent="0.2">
      <c r="A312" s="113"/>
      <c r="B312" s="119"/>
      <c r="C312" s="178" t="s">
        <v>250</v>
      </c>
      <c r="D312" s="178"/>
      <c r="E312" s="178"/>
      <c r="F312" s="178" t="s">
        <v>251</v>
      </c>
      <c r="G312" s="178"/>
      <c r="H312" s="178"/>
      <c r="I312" s="120"/>
      <c r="J312" s="121"/>
      <c r="K312" s="122"/>
      <c r="Q312" s="123"/>
      <c r="S312" s="115"/>
      <c r="U312" s="115"/>
      <c r="V312" s="116"/>
      <c r="W312" s="117"/>
      <c r="X312" s="118"/>
      <c r="Y312"/>
    </row>
    <row r="313" spans="1:25" s="112" customFormat="1" ht="16.5" customHeight="1" x14ac:dyDescent="0.2">
      <c r="A313" s="179" t="s">
        <v>252</v>
      </c>
      <c r="B313" s="179"/>
      <c r="C313" s="179"/>
      <c r="D313" s="179"/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11"/>
    </row>
    <row r="314" spans="1:25" ht="12.75" customHeight="1" x14ac:dyDescent="0.2">
      <c r="A314" s="113"/>
      <c r="B314" s="119"/>
      <c r="C314" s="178" t="s">
        <v>253</v>
      </c>
      <c r="D314" s="178"/>
      <c r="E314" s="178"/>
      <c r="F314" s="178" t="s">
        <v>254</v>
      </c>
      <c r="G314" s="178"/>
      <c r="H314" s="178"/>
      <c r="I314" s="120"/>
      <c r="J314" s="178" t="s">
        <v>255</v>
      </c>
      <c r="K314" s="178"/>
      <c r="L314" s="178"/>
      <c r="N314" s="178" t="s">
        <v>256</v>
      </c>
      <c r="O314" s="178"/>
      <c r="P314" s="178"/>
      <c r="Q314" s="123"/>
      <c r="S314" s="115"/>
      <c r="U314" s="115"/>
      <c r="V314" s="116"/>
      <c r="W314" s="117"/>
      <c r="X314" s="118"/>
      <c r="Y314"/>
    </row>
    <row r="315" spans="1:25" s="112" customFormat="1" ht="16.5" customHeight="1" x14ac:dyDescent="0.2">
      <c r="A315" s="179" t="s">
        <v>257</v>
      </c>
      <c r="B315" s="179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11"/>
    </row>
    <row r="316" spans="1:25" ht="12.75" customHeight="1" x14ac:dyDescent="0.2">
      <c r="A316" s="178" t="s">
        <v>258</v>
      </c>
      <c r="B316" s="178"/>
      <c r="C316" s="178"/>
      <c r="D316" s="178"/>
      <c r="E316" s="178"/>
      <c r="F316" s="178"/>
      <c r="G316" s="178" t="s">
        <v>260</v>
      </c>
      <c r="H316" s="178"/>
      <c r="I316" s="178"/>
      <c r="J316" s="178"/>
      <c r="K316" s="178"/>
      <c r="L316" s="178"/>
      <c r="M316" s="178"/>
      <c r="N316" s="178"/>
      <c r="O316" s="178" t="s">
        <v>279</v>
      </c>
      <c r="P316" s="178"/>
      <c r="Q316" s="178"/>
      <c r="R316" s="178"/>
      <c r="S316" s="178"/>
      <c r="T316" s="178"/>
      <c r="U316" s="178"/>
      <c r="V316" s="116"/>
      <c r="W316" s="117"/>
      <c r="X316" s="118"/>
      <c r="Y316"/>
    </row>
    <row r="317" spans="1:25" ht="12.75" customHeight="1" x14ac:dyDescent="0.2">
      <c r="A317" s="178" t="s">
        <v>261</v>
      </c>
      <c r="B317" s="178"/>
      <c r="C317" s="178"/>
      <c r="D317" s="178"/>
      <c r="E317" s="178"/>
      <c r="F317" s="178"/>
      <c r="G317" s="178" t="s">
        <v>263</v>
      </c>
      <c r="H317" s="178"/>
      <c r="I317" s="178"/>
      <c r="J317" s="178"/>
      <c r="K317" s="178"/>
      <c r="L317" s="178"/>
      <c r="M317" s="178"/>
      <c r="N317" s="178"/>
      <c r="O317" s="178" t="s">
        <v>280</v>
      </c>
      <c r="P317" s="178"/>
      <c r="Q317" s="178"/>
      <c r="R317" s="178"/>
      <c r="S317" s="178"/>
      <c r="T317" s="178"/>
      <c r="U317" s="178"/>
      <c r="V317" s="116"/>
      <c r="W317" s="117"/>
      <c r="X317" s="118"/>
      <c r="Y317"/>
    </row>
    <row r="318" spans="1:25" ht="12.75" customHeight="1" x14ac:dyDescent="0.2">
      <c r="A318" s="178" t="s">
        <v>259</v>
      </c>
      <c r="B318" s="178"/>
      <c r="C318" s="178"/>
      <c r="D318" s="178"/>
      <c r="E318" s="178"/>
      <c r="F318" s="178"/>
      <c r="G318" s="178" t="s">
        <v>277</v>
      </c>
      <c r="H318" s="178"/>
      <c r="I318" s="178"/>
      <c r="J318" s="178"/>
      <c r="K318" s="178"/>
      <c r="L318" s="178"/>
      <c r="M318" s="178"/>
      <c r="N318" s="178"/>
      <c r="O318" s="166"/>
      <c r="P318" s="166"/>
      <c r="Q318" s="166"/>
      <c r="R318" s="166"/>
      <c r="S318" s="166"/>
      <c r="U318" s="115"/>
      <c r="V318" s="116"/>
      <c r="W318" s="117"/>
      <c r="X318" s="118"/>
      <c r="Y318"/>
    </row>
    <row r="319" spans="1:25" ht="12.75" customHeight="1" x14ac:dyDescent="0.2">
      <c r="A319" s="178" t="s">
        <v>262</v>
      </c>
      <c r="B319" s="178"/>
      <c r="C319" s="178"/>
      <c r="D319" s="178"/>
      <c r="E319" s="178"/>
      <c r="F319" s="178"/>
      <c r="G319" s="178" t="s">
        <v>278</v>
      </c>
      <c r="H319" s="178"/>
      <c r="I319" s="178"/>
      <c r="J319" s="178"/>
      <c r="K319" s="178"/>
      <c r="L319" s="178"/>
      <c r="M319" s="178"/>
      <c r="N319" s="178"/>
      <c r="O319" s="166"/>
      <c r="P319" s="166"/>
      <c r="Q319" s="166"/>
      <c r="R319" s="166"/>
      <c r="S319" s="166"/>
      <c r="U319" s="115"/>
      <c r="V319" s="116"/>
      <c r="W319" s="117"/>
      <c r="X319" s="118"/>
      <c r="Y319"/>
    </row>
    <row r="320" spans="1:25" s="112" customFormat="1" ht="16.5" customHeight="1" x14ac:dyDescent="0.2">
      <c r="A320" s="179" t="s">
        <v>264</v>
      </c>
      <c r="B320" s="179"/>
      <c r="C320" s="179"/>
      <c r="D320" s="179"/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11"/>
    </row>
    <row r="322" spans="1:25" x14ac:dyDescent="0.2">
      <c r="N322" s="180"/>
      <c r="O322" s="181"/>
      <c r="P322" s="181"/>
      <c r="Q322" s="181"/>
      <c r="S322" s="181"/>
      <c r="T322" s="181"/>
      <c r="U322" s="181"/>
      <c r="V322" s="181"/>
      <c r="W322" s="181"/>
    </row>
    <row r="323" spans="1:25" ht="6" customHeight="1" x14ac:dyDescent="0.2">
      <c r="N323" s="180"/>
      <c r="O323" s="169"/>
      <c r="P323" s="169"/>
      <c r="Q323" s="169"/>
      <c r="S323" s="169"/>
      <c r="T323" s="169"/>
      <c r="U323" s="169"/>
      <c r="V323" s="169"/>
      <c r="W323" s="169"/>
    </row>
    <row r="324" spans="1:25" x14ac:dyDescent="0.2">
      <c r="J324" s="132"/>
      <c r="M324" s="175"/>
      <c r="N324" s="180"/>
      <c r="O324" s="169"/>
      <c r="P324" s="169"/>
      <c r="Q324" s="133"/>
      <c r="R324" s="169"/>
      <c r="S324" s="169"/>
      <c r="T324" s="169"/>
      <c r="U324" s="169"/>
      <c r="V324" s="134"/>
      <c r="W324" s="133"/>
      <c r="X324" s="134"/>
      <c r="Y324" s="133"/>
    </row>
    <row r="325" spans="1:25" x14ac:dyDescent="0.2">
      <c r="I325" s="175"/>
      <c r="J325" s="132"/>
      <c r="M325" s="175"/>
      <c r="N325" s="135"/>
      <c r="O325" s="169"/>
      <c r="P325" s="169"/>
      <c r="Q325" s="133"/>
      <c r="R325" s="169"/>
      <c r="S325" s="169"/>
      <c r="T325" s="136"/>
      <c r="U325" s="169"/>
      <c r="V325" s="134"/>
      <c r="W325" s="133"/>
      <c r="X325" s="134"/>
      <c r="Y325" s="133"/>
    </row>
    <row r="326" spans="1:25" x14ac:dyDescent="0.2">
      <c r="I326" s="175"/>
      <c r="J326" s="135"/>
      <c r="K326" s="152"/>
      <c r="M326" s="175"/>
      <c r="N326" s="135"/>
      <c r="O326" s="137"/>
      <c r="P326" s="137"/>
      <c r="Q326" s="137"/>
      <c r="T326" s="138"/>
      <c r="V326" s="138"/>
      <c r="W326" s="138"/>
      <c r="Y326" s="139"/>
    </row>
    <row r="327" spans="1:25" x14ac:dyDescent="0.2">
      <c r="I327" s="175"/>
      <c r="J327" s="135"/>
      <c r="K327" s="138"/>
      <c r="M327" s="175"/>
      <c r="N327" s="135"/>
      <c r="O327" s="137"/>
      <c r="P327" s="137"/>
      <c r="Q327" s="137"/>
      <c r="T327" s="138"/>
      <c r="V327" s="138"/>
      <c r="W327" s="138"/>
      <c r="X327" s="138"/>
      <c r="Y327" s="139"/>
    </row>
    <row r="328" spans="1:25" x14ac:dyDescent="0.2">
      <c r="I328" s="175"/>
      <c r="J328" s="135"/>
      <c r="K328" s="138"/>
      <c r="M328" s="175"/>
      <c r="N328" s="135"/>
      <c r="O328" s="137"/>
      <c r="P328" s="137"/>
      <c r="Q328" s="137"/>
      <c r="T328" s="138"/>
      <c r="V328" s="138"/>
      <c r="W328" s="138"/>
      <c r="X328" s="138"/>
      <c r="Y328" s="139"/>
    </row>
    <row r="329" spans="1:25" s="148" customFormat="1" x14ac:dyDescent="0.2">
      <c r="A329" s="140"/>
      <c r="B329" s="141"/>
      <c r="C329" s="142"/>
      <c r="D329" s="142"/>
      <c r="E329" s="141"/>
      <c r="F329" s="141"/>
      <c r="G329" s="142"/>
      <c r="H329" s="143"/>
      <c r="I329" s="175"/>
      <c r="J329" s="144"/>
      <c r="K329" s="147"/>
      <c r="L329" s="145"/>
      <c r="M329" s="175"/>
      <c r="N329" s="135"/>
      <c r="O329" s="146"/>
      <c r="P329" s="146"/>
      <c r="Q329" s="146"/>
      <c r="R329" s="145"/>
      <c r="S329" s="147"/>
      <c r="T329" s="147"/>
      <c r="U329" s="147"/>
      <c r="V329" s="147"/>
      <c r="W329" s="147"/>
      <c r="X329" s="134"/>
      <c r="Y329" s="145"/>
    </row>
    <row r="330" spans="1:25" x14ac:dyDescent="0.2">
      <c r="K330" s="150"/>
      <c r="M330" s="128"/>
      <c r="N330" s="149"/>
      <c r="S330" s="150"/>
      <c r="T330" s="151"/>
      <c r="U330" s="150"/>
      <c r="V330" s="151"/>
      <c r="W330" s="150"/>
    </row>
    <row r="331" spans="1:25" x14ac:dyDescent="0.2">
      <c r="I331" s="175"/>
      <c r="J331" s="132"/>
      <c r="M331" s="175"/>
      <c r="N331" s="135"/>
      <c r="O331" s="169"/>
      <c r="P331" s="169"/>
      <c r="Q331" s="133"/>
      <c r="R331" s="169"/>
      <c r="S331" s="169"/>
      <c r="T331" s="136"/>
      <c r="U331" s="169"/>
      <c r="V331" s="134"/>
      <c r="W331" s="133"/>
      <c r="X331" s="134"/>
      <c r="Y331" s="133"/>
    </row>
    <row r="332" spans="1:25" x14ac:dyDescent="0.2">
      <c r="I332" s="175"/>
      <c r="J332" s="135"/>
      <c r="M332" s="175"/>
      <c r="N332" s="135"/>
      <c r="S332" s="115"/>
      <c r="T332" s="115"/>
      <c r="U332" s="115"/>
      <c r="V332" s="115"/>
      <c r="Y332" s="139"/>
    </row>
    <row r="333" spans="1:25" x14ac:dyDescent="0.2">
      <c r="I333" s="175"/>
      <c r="J333" s="135"/>
      <c r="K333" s="138"/>
      <c r="M333" s="175"/>
      <c r="N333" s="135"/>
      <c r="T333" s="138"/>
      <c r="V333" s="138"/>
      <c r="W333" s="138"/>
      <c r="Y333" s="139"/>
    </row>
    <row r="334" spans="1:25" x14ac:dyDescent="0.2">
      <c r="I334" s="175"/>
      <c r="J334" s="135"/>
      <c r="K334" s="138"/>
      <c r="M334" s="175"/>
      <c r="N334" s="135"/>
      <c r="T334" s="138"/>
      <c r="V334" s="138"/>
      <c r="W334" s="138"/>
      <c r="Y334" s="139"/>
    </row>
    <row r="335" spans="1:25" s="148" customFormat="1" x14ac:dyDescent="0.2">
      <c r="A335" s="140"/>
      <c r="B335" s="141"/>
      <c r="C335" s="142"/>
      <c r="D335" s="142"/>
      <c r="E335" s="141"/>
      <c r="F335" s="141"/>
      <c r="G335" s="142"/>
      <c r="H335" s="143"/>
      <c r="I335" s="175"/>
      <c r="J335" s="144"/>
      <c r="K335" s="147"/>
      <c r="L335" s="145"/>
      <c r="M335" s="175"/>
      <c r="N335" s="135"/>
      <c r="O335" s="146"/>
      <c r="P335" s="146"/>
      <c r="Q335" s="146"/>
      <c r="R335" s="145"/>
      <c r="S335" s="147"/>
      <c r="T335" s="147"/>
      <c r="U335" s="147"/>
      <c r="V335" s="147"/>
      <c r="W335" s="147"/>
      <c r="X335" s="134"/>
      <c r="Y335" s="145"/>
    </row>
    <row r="336" spans="1:25" x14ac:dyDescent="0.2">
      <c r="K336" s="150"/>
      <c r="M336" s="128"/>
      <c r="N336" s="149"/>
      <c r="S336" s="150"/>
      <c r="T336" s="151"/>
      <c r="U336" s="150"/>
      <c r="V336" s="151"/>
      <c r="W336" s="150"/>
    </row>
    <row r="337" spans="1:25" x14ac:dyDescent="0.2">
      <c r="I337" s="175"/>
      <c r="J337" s="132"/>
      <c r="M337" s="175"/>
      <c r="N337" s="135"/>
      <c r="O337" s="169"/>
      <c r="P337" s="169"/>
      <c r="Q337" s="133"/>
      <c r="R337" s="169"/>
      <c r="S337" s="169"/>
      <c r="T337" s="136"/>
      <c r="U337" s="169"/>
      <c r="V337" s="134"/>
      <c r="W337" s="133"/>
      <c r="X337" s="134"/>
      <c r="Y337" s="133"/>
    </row>
    <row r="338" spans="1:25" x14ac:dyDescent="0.2">
      <c r="I338" s="175"/>
      <c r="J338" s="135"/>
      <c r="K338" s="137"/>
      <c r="M338" s="175"/>
      <c r="N338" s="135"/>
      <c r="O338" s="137"/>
      <c r="P338" s="137"/>
      <c r="Q338" s="137"/>
      <c r="S338" s="115"/>
      <c r="U338" s="115"/>
      <c r="V338" s="130"/>
      <c r="Y338" s="139"/>
    </row>
    <row r="339" spans="1:25" x14ac:dyDescent="0.2">
      <c r="I339" s="175"/>
      <c r="J339" s="135"/>
      <c r="M339" s="175"/>
      <c r="N339" s="135"/>
      <c r="O339" s="137"/>
      <c r="P339" s="137"/>
      <c r="Q339" s="137"/>
      <c r="S339" s="115"/>
      <c r="U339" s="115"/>
      <c r="V339" s="130"/>
      <c r="Y339" s="139"/>
    </row>
    <row r="340" spans="1:25" x14ac:dyDescent="0.2">
      <c r="I340" s="175"/>
      <c r="J340" s="135"/>
      <c r="K340" s="138"/>
      <c r="M340" s="175"/>
      <c r="N340" s="135"/>
      <c r="O340" s="137"/>
      <c r="P340" s="137"/>
      <c r="Q340" s="137"/>
      <c r="V340" s="130"/>
      <c r="W340" s="138"/>
      <c r="Y340" s="139"/>
    </row>
    <row r="341" spans="1:25" x14ac:dyDescent="0.2">
      <c r="I341" s="175"/>
      <c r="J341" s="135"/>
      <c r="K341" s="138"/>
      <c r="M341" s="175"/>
      <c r="N341" s="135"/>
      <c r="O341" s="137"/>
      <c r="P341" s="137"/>
      <c r="Q341" s="137"/>
      <c r="V341" s="130"/>
      <c r="W341" s="138"/>
      <c r="Y341" s="139"/>
    </row>
    <row r="342" spans="1:25" s="148" customFormat="1" x14ac:dyDescent="0.2">
      <c r="A342" s="140"/>
      <c r="B342" s="141"/>
      <c r="C342" s="142"/>
      <c r="D342" s="142"/>
      <c r="E342" s="141"/>
      <c r="F342" s="141"/>
      <c r="G342" s="142"/>
      <c r="H342" s="143"/>
      <c r="I342" s="175"/>
      <c r="J342" s="144"/>
      <c r="K342" s="147"/>
      <c r="L342" s="145"/>
      <c r="M342" s="175"/>
      <c r="N342" s="135"/>
      <c r="O342" s="146"/>
      <c r="P342" s="146"/>
      <c r="Q342" s="146"/>
      <c r="R342" s="145"/>
      <c r="S342" s="147"/>
      <c r="T342" s="136"/>
      <c r="U342" s="147"/>
      <c r="V342" s="134"/>
      <c r="W342" s="147"/>
      <c r="X342" s="134"/>
      <c r="Y342" s="145"/>
    </row>
    <row r="343" spans="1:25" x14ac:dyDescent="0.2">
      <c r="K343" s="150"/>
      <c r="S343" s="150"/>
      <c r="U343" s="150"/>
      <c r="W343" s="150"/>
    </row>
    <row r="346" spans="1:25" x14ac:dyDescent="0.2">
      <c r="N346" s="176"/>
      <c r="O346" s="177"/>
      <c r="P346" s="177"/>
      <c r="Q346" s="177"/>
      <c r="R346" s="176"/>
      <c r="S346" s="177"/>
      <c r="T346" s="177"/>
      <c r="U346" s="177"/>
      <c r="V346" s="177"/>
      <c r="W346" s="177"/>
    </row>
    <row r="347" spans="1:25" x14ac:dyDescent="0.2">
      <c r="J347" s="132"/>
      <c r="M347" s="165"/>
      <c r="N347" s="176"/>
      <c r="O347" s="168"/>
      <c r="P347" s="165"/>
      <c r="Q347" s="133"/>
      <c r="R347" s="176"/>
      <c r="S347" s="168"/>
      <c r="T347" s="168"/>
      <c r="U347" s="168"/>
      <c r="V347" s="134"/>
      <c r="W347" s="133"/>
      <c r="X347" s="134"/>
      <c r="Y347" s="143"/>
    </row>
    <row r="348" spans="1:25" x14ac:dyDescent="0.2">
      <c r="J348" s="132"/>
      <c r="M348" s="165"/>
      <c r="N348" s="167"/>
      <c r="O348" s="168"/>
      <c r="P348" s="165"/>
      <c r="Q348" s="133"/>
      <c r="R348" s="167"/>
      <c r="S348" s="168"/>
      <c r="T348" s="168"/>
      <c r="U348" s="168"/>
      <c r="V348" s="134"/>
      <c r="W348" s="133"/>
      <c r="X348" s="134"/>
      <c r="Y348" s="143"/>
    </row>
    <row r="349" spans="1:25" x14ac:dyDescent="0.2">
      <c r="I349" s="165"/>
      <c r="J349" s="135"/>
      <c r="K349" s="152"/>
      <c r="M349" s="165"/>
      <c r="N349" s="143"/>
      <c r="O349" s="137"/>
      <c r="P349" s="165"/>
      <c r="Q349" s="175"/>
      <c r="R349" s="143"/>
      <c r="S349" s="152"/>
      <c r="T349" s="152"/>
      <c r="U349" s="152"/>
      <c r="V349" s="138"/>
      <c r="W349" s="152"/>
      <c r="Y349" s="143"/>
    </row>
    <row r="350" spans="1:25" x14ac:dyDescent="0.2">
      <c r="I350" s="165"/>
      <c r="J350" s="135"/>
      <c r="K350" s="138"/>
      <c r="M350" s="165"/>
      <c r="N350" s="143"/>
      <c r="O350" s="137"/>
      <c r="P350" s="165"/>
      <c r="Q350" s="175"/>
      <c r="R350" s="143"/>
      <c r="T350" s="138"/>
      <c r="V350" s="138"/>
      <c r="W350" s="138"/>
      <c r="Y350" s="143"/>
    </row>
    <row r="351" spans="1:25" x14ac:dyDescent="0.2">
      <c r="I351" s="165"/>
      <c r="J351" s="135"/>
      <c r="K351" s="138"/>
      <c r="M351" s="165"/>
      <c r="N351" s="143"/>
      <c r="O351" s="137"/>
      <c r="P351" s="165"/>
      <c r="Q351" s="175"/>
      <c r="R351" s="143"/>
      <c r="T351" s="138"/>
      <c r="V351" s="138"/>
      <c r="W351" s="138"/>
      <c r="Y351" s="143"/>
    </row>
    <row r="352" spans="1:25" x14ac:dyDescent="0.2">
      <c r="I352" s="165"/>
      <c r="J352" s="135"/>
      <c r="K352" s="138"/>
      <c r="M352" s="165"/>
      <c r="N352" s="143"/>
      <c r="O352" s="137"/>
      <c r="P352" s="165"/>
      <c r="Q352" s="175"/>
      <c r="R352" s="143"/>
      <c r="T352" s="138"/>
      <c r="V352" s="138"/>
      <c r="W352" s="138"/>
      <c r="Y352" s="143"/>
    </row>
    <row r="353" spans="1:25" s="148" customFormat="1" x14ac:dyDescent="0.2">
      <c r="A353" s="140"/>
      <c r="B353" s="141"/>
      <c r="C353" s="142"/>
      <c r="D353" s="142"/>
      <c r="E353" s="141"/>
      <c r="F353" s="141"/>
      <c r="G353" s="142"/>
      <c r="H353" s="143"/>
      <c r="I353" s="174"/>
      <c r="J353" s="144"/>
      <c r="K353" s="147"/>
      <c r="L353" s="145"/>
      <c r="M353" s="174"/>
      <c r="N353" s="143"/>
      <c r="O353" s="146"/>
      <c r="P353" s="174"/>
      <c r="Q353" s="175"/>
      <c r="R353" s="143"/>
      <c r="S353" s="147"/>
      <c r="T353" s="147"/>
      <c r="U353" s="147"/>
      <c r="V353" s="147"/>
      <c r="W353" s="147"/>
      <c r="X353" s="134"/>
      <c r="Y353" s="143"/>
    </row>
  </sheetData>
  <mergeCells count="217">
    <mergeCell ref="A1:X1"/>
    <mergeCell ref="A2:X2"/>
    <mergeCell ref="A3:X3"/>
    <mergeCell ref="A7:X7"/>
    <mergeCell ref="A9:J9"/>
    <mergeCell ref="K9:K10"/>
    <mergeCell ref="L9:M9"/>
    <mergeCell ref="N9:N10"/>
    <mergeCell ref="O9:O10"/>
    <mergeCell ref="P9:Q9"/>
    <mergeCell ref="R9:R10"/>
    <mergeCell ref="S9:X9"/>
    <mergeCell ref="A10:B10"/>
    <mergeCell ref="C10:C11"/>
    <mergeCell ref="D10:D11"/>
    <mergeCell ref="E10:F10"/>
    <mergeCell ref="G10:G11"/>
    <mergeCell ref="H10:I10"/>
    <mergeCell ref="J10:J11"/>
    <mergeCell ref="B25:C25"/>
    <mergeCell ref="F25:J25"/>
    <mergeCell ref="B30:C30"/>
    <mergeCell ref="F30:J30"/>
    <mergeCell ref="B34:C34"/>
    <mergeCell ref="F34:J34"/>
    <mergeCell ref="B13:C13"/>
    <mergeCell ref="F13:J13"/>
    <mergeCell ref="B17:C17"/>
    <mergeCell ref="F17:J17"/>
    <mergeCell ref="B21:C21"/>
    <mergeCell ref="F21:J21"/>
    <mergeCell ref="B52:C52"/>
    <mergeCell ref="F52:J52"/>
    <mergeCell ref="B55:C55"/>
    <mergeCell ref="F55:J55"/>
    <mergeCell ref="B58:C58"/>
    <mergeCell ref="F58:J58"/>
    <mergeCell ref="B39:C39"/>
    <mergeCell ref="F39:J39"/>
    <mergeCell ref="B44:C44"/>
    <mergeCell ref="F44:J44"/>
    <mergeCell ref="B48:C48"/>
    <mergeCell ref="F48:J48"/>
    <mergeCell ref="B72:C72"/>
    <mergeCell ref="F72:J72"/>
    <mergeCell ref="B75:C75"/>
    <mergeCell ref="F75:J75"/>
    <mergeCell ref="B78:C78"/>
    <mergeCell ref="F78:J78"/>
    <mergeCell ref="B61:C61"/>
    <mergeCell ref="F61:J61"/>
    <mergeCell ref="B65:C65"/>
    <mergeCell ref="F65:J65"/>
    <mergeCell ref="B68:C68"/>
    <mergeCell ref="F68:J68"/>
    <mergeCell ref="B90:C90"/>
    <mergeCell ref="F90:J90"/>
    <mergeCell ref="B93:C93"/>
    <mergeCell ref="F93:J93"/>
    <mergeCell ref="A95:J95"/>
    <mergeCell ref="B97:C97"/>
    <mergeCell ref="F97:J97"/>
    <mergeCell ref="B81:C81"/>
    <mergeCell ref="F81:J81"/>
    <mergeCell ref="B84:C84"/>
    <mergeCell ref="F84:J84"/>
    <mergeCell ref="B87:C87"/>
    <mergeCell ref="F87:J87"/>
    <mergeCell ref="B115:C115"/>
    <mergeCell ref="F115:J115"/>
    <mergeCell ref="B118:C118"/>
    <mergeCell ref="F118:J118"/>
    <mergeCell ref="B121:C121"/>
    <mergeCell ref="F121:J121"/>
    <mergeCell ref="B103:C103"/>
    <mergeCell ref="F103:J103"/>
    <mergeCell ref="B107:C107"/>
    <mergeCell ref="F107:J107"/>
    <mergeCell ref="B111:C111"/>
    <mergeCell ref="F111:J111"/>
    <mergeCell ref="B139:C139"/>
    <mergeCell ref="F139:J139"/>
    <mergeCell ref="B144:C144"/>
    <mergeCell ref="F144:J144"/>
    <mergeCell ref="B150:C150"/>
    <mergeCell ref="F150:J150"/>
    <mergeCell ref="B124:C124"/>
    <mergeCell ref="F124:J124"/>
    <mergeCell ref="B128:C128"/>
    <mergeCell ref="F128:J128"/>
    <mergeCell ref="B134:C134"/>
    <mergeCell ref="F134:J134"/>
    <mergeCell ref="B170:C170"/>
    <mergeCell ref="F170:J170"/>
    <mergeCell ref="B177:C177"/>
    <mergeCell ref="F177:J177"/>
    <mergeCell ref="B180:C180"/>
    <mergeCell ref="F180:J180"/>
    <mergeCell ref="B154:C154"/>
    <mergeCell ref="F154:J154"/>
    <mergeCell ref="B158:C158"/>
    <mergeCell ref="F158:J158"/>
    <mergeCell ref="B164:C164"/>
    <mergeCell ref="F164:J164"/>
    <mergeCell ref="B195:C195"/>
    <mergeCell ref="F195:J195"/>
    <mergeCell ref="B199:C199"/>
    <mergeCell ref="F199:J199"/>
    <mergeCell ref="B202:C202"/>
    <mergeCell ref="F202:J202"/>
    <mergeCell ref="B184:C184"/>
    <mergeCell ref="F184:J184"/>
    <mergeCell ref="B188:C188"/>
    <mergeCell ref="F188:J188"/>
    <mergeCell ref="B191:C191"/>
    <mergeCell ref="F191:J191"/>
    <mergeCell ref="B216:C216"/>
    <mergeCell ref="F216:J216"/>
    <mergeCell ref="B219:C219"/>
    <mergeCell ref="F219:J219"/>
    <mergeCell ref="B223:C223"/>
    <mergeCell ref="F223:J223"/>
    <mergeCell ref="B205:C205"/>
    <mergeCell ref="F205:J205"/>
    <mergeCell ref="B208:C208"/>
    <mergeCell ref="F208:J208"/>
    <mergeCell ref="B212:C212"/>
    <mergeCell ref="F212:J212"/>
    <mergeCell ref="B252:C252"/>
    <mergeCell ref="F252:J252"/>
    <mergeCell ref="B256:C256"/>
    <mergeCell ref="F256:J256"/>
    <mergeCell ref="B259:C259"/>
    <mergeCell ref="F259:J259"/>
    <mergeCell ref="B227:C227"/>
    <mergeCell ref="F227:J227"/>
    <mergeCell ref="B238:C238"/>
    <mergeCell ref="F238:J238"/>
    <mergeCell ref="B245:C245"/>
    <mergeCell ref="F245:J245"/>
    <mergeCell ref="B275:C275"/>
    <mergeCell ref="F275:J275"/>
    <mergeCell ref="B279:C279"/>
    <mergeCell ref="F279:J279"/>
    <mergeCell ref="B282:C282"/>
    <mergeCell ref="F282:J282"/>
    <mergeCell ref="B263:C263"/>
    <mergeCell ref="F263:J263"/>
    <mergeCell ref="B268:C268"/>
    <mergeCell ref="F268:J268"/>
    <mergeCell ref="B272:C272"/>
    <mergeCell ref="F272:J272"/>
    <mergeCell ref="B296:C296"/>
    <mergeCell ref="F296:J296"/>
    <mergeCell ref="B299:C299"/>
    <mergeCell ref="F299:J299"/>
    <mergeCell ref="A301:J301"/>
    <mergeCell ref="A303:J303"/>
    <mergeCell ref="B285:C285"/>
    <mergeCell ref="F285:J285"/>
    <mergeCell ref="B290:C290"/>
    <mergeCell ref="F290:J290"/>
    <mergeCell ref="B293:C293"/>
    <mergeCell ref="F293:J293"/>
    <mergeCell ref="A305:X305"/>
    <mergeCell ref="A306:X306"/>
    <mergeCell ref="A307:X307"/>
    <mergeCell ref="B308:C308"/>
    <mergeCell ref="E308:F308"/>
    <mergeCell ref="G308:H308"/>
    <mergeCell ref="I308:K308"/>
    <mergeCell ref="M308:O308"/>
    <mergeCell ref="Q308:T308"/>
    <mergeCell ref="E310:F310"/>
    <mergeCell ref="G310:H310"/>
    <mergeCell ref="I310:K310"/>
    <mergeCell ref="M310:O310"/>
    <mergeCell ref="A311:X311"/>
    <mergeCell ref="C312:E312"/>
    <mergeCell ref="F312:H312"/>
    <mergeCell ref="B309:C309"/>
    <mergeCell ref="E309:F309"/>
    <mergeCell ref="G309:H309"/>
    <mergeCell ref="I309:K309"/>
    <mergeCell ref="M309:O309"/>
    <mergeCell ref="Q309:T309"/>
    <mergeCell ref="A316:F316"/>
    <mergeCell ref="G316:N316"/>
    <mergeCell ref="O316:U316"/>
    <mergeCell ref="A317:F317"/>
    <mergeCell ref="G317:N317"/>
    <mergeCell ref="O317:U317"/>
    <mergeCell ref="A313:X313"/>
    <mergeCell ref="C314:E314"/>
    <mergeCell ref="F314:H314"/>
    <mergeCell ref="J314:L314"/>
    <mergeCell ref="N314:P314"/>
    <mergeCell ref="A315:X315"/>
    <mergeCell ref="I331:I335"/>
    <mergeCell ref="M331:M335"/>
    <mergeCell ref="I337:I342"/>
    <mergeCell ref="M337:M342"/>
    <mergeCell ref="N346:N347"/>
    <mergeCell ref="O346:Q346"/>
    <mergeCell ref="A318:F318"/>
    <mergeCell ref="G318:N318"/>
    <mergeCell ref="A319:F319"/>
    <mergeCell ref="G319:N319"/>
    <mergeCell ref="A320:X320"/>
    <mergeCell ref="N322:N324"/>
    <mergeCell ref="O322:Q322"/>
    <mergeCell ref="S322:W322"/>
    <mergeCell ref="M324:M329"/>
    <mergeCell ref="I325:I329"/>
    <mergeCell ref="R346:R347"/>
    <mergeCell ref="S346:W346"/>
    <mergeCell ref="Q349:Q353"/>
  </mergeCells>
  <printOptions horizontalCentered="1"/>
  <pageMargins left="0.19685039370078741" right="0.19685039370078741" top="0.31496062992125984" bottom="0.31496062992125984" header="0.15748031496062992" footer="0.15748031496062992"/>
  <pageSetup paperSize="9" scale="46" orientation="landscape" r:id="rId1"/>
  <headerFooter alignWithMargins="0">
    <oddFooter>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FDB0DC5802064F9F397F5BB6967557" ma:contentTypeVersion="10" ma:contentTypeDescription="Crie um novo documento." ma:contentTypeScope="" ma:versionID="f0e4aca4228c40f59d9e0c012ca58f91">
  <xsd:schema xmlns:xsd="http://www.w3.org/2001/XMLSchema" xmlns:xs="http://www.w3.org/2001/XMLSchema" xmlns:p="http://schemas.microsoft.com/office/2006/metadata/properties" xmlns:ns2="bf0a519a-f0d7-4b7f-ba2f-cdea6954352d" xmlns:ns3="14d0cd2f-a2a5-4059-ac4a-472256ce7657" targetNamespace="http://schemas.microsoft.com/office/2006/metadata/properties" ma:root="true" ma:fieldsID="553efb05f44308897b9744a9effa45f3" ns2:_="" ns3:_="">
    <xsd:import namespace="bf0a519a-f0d7-4b7f-ba2f-cdea6954352d"/>
    <xsd:import namespace="14d0cd2f-a2a5-4059-ac4a-472256ce7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a519a-f0d7-4b7f-ba2f-cdea69543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0cd2f-a2a5-4059-ac4a-472256ce7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DB20B5-C1D5-4572-BCE9-40ABF16D07E8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bf0a519a-f0d7-4b7f-ba2f-cdea6954352d"/>
    <ds:schemaRef ds:uri="http://schemas.openxmlformats.org/package/2006/metadata/core-properties"/>
    <ds:schemaRef ds:uri="14d0cd2f-a2a5-4059-ac4a-472256ce765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41A1282-8D42-4A08-9C2B-44BF48349F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63D4D4-A91C-40B3-A403-2F0DCE9BD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a519a-f0d7-4b7f-ba2f-cdea6954352d"/>
    <ds:schemaRef ds:uri="14d0cd2f-a2a5-4059-ac4a-472256ce7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Março 2021</vt:lpstr>
      <vt:lpstr>'Março 2021'!Area_de_impressao</vt:lpstr>
      <vt:lpstr>'Março 2021'!Titulos_de_impressao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Maria Ribeiro Maués</dc:creator>
  <cp:lastModifiedBy>Administrador</cp:lastModifiedBy>
  <cp:lastPrinted>2021-04-19T14:42:38Z</cp:lastPrinted>
  <dcterms:created xsi:type="dcterms:W3CDTF">2021-02-01T12:04:44Z</dcterms:created>
  <dcterms:modified xsi:type="dcterms:W3CDTF">2021-04-19T14:42:43Z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0x0101008FFDB0DC5802064F9F397F5BB6967557</vt:lpwstr>
  </property>
</Properties>
</file>