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.maues\TJEPA\SAEO - General\8-CNJ\6.2-RESOLUÇÃO 102\RES. 102 - ANEXO II\2020\"/>
    </mc:Choice>
  </mc:AlternateContent>
  <bookViews>
    <workbookView xWindow="0" yWindow="0" windowWidth="24000" windowHeight="9045"/>
  </bookViews>
  <sheets>
    <sheet name="Outuro 2020" sheetId="1" r:id="rId1"/>
  </sheets>
  <definedNames>
    <definedName name="_xlnm.Print_Area" localSheetId="0">'Outuro 2020'!$A$1:$X$424</definedName>
    <definedName name="_xlnm.Print_Titles" localSheetId="0">'Outuro 2020'!$1:$11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39" i="1" l="1"/>
  <c r="U339" i="1"/>
  <c r="U337" i="1" s="1"/>
  <c r="S339" i="1"/>
  <c r="R339" i="1"/>
  <c r="V339" i="1" s="1"/>
  <c r="O339" i="1"/>
  <c r="N339" i="1"/>
  <c r="L339" i="1"/>
  <c r="R338" i="1"/>
  <c r="O338" i="1"/>
  <c r="N338" i="1"/>
  <c r="M338" i="1"/>
  <c r="W337" i="1"/>
  <c r="T337" i="1"/>
  <c r="S337" i="1"/>
  <c r="R337" i="1"/>
  <c r="X337" i="1" s="1"/>
  <c r="Q337" i="1"/>
  <c r="P337" i="1"/>
  <c r="O337" i="1"/>
  <c r="N337" i="1"/>
  <c r="M337" i="1"/>
  <c r="L337" i="1"/>
  <c r="K337" i="1"/>
  <c r="W335" i="1"/>
  <c r="U335" i="1"/>
  <c r="S335" i="1"/>
  <c r="R335" i="1"/>
  <c r="X335" i="1" s="1"/>
  <c r="O335" i="1"/>
  <c r="N335" i="1"/>
  <c r="L335" i="1"/>
  <c r="R334" i="1"/>
  <c r="R333" i="1" s="1"/>
  <c r="O334" i="1"/>
  <c r="N334" i="1"/>
  <c r="N333" i="1" s="1"/>
  <c r="W333" i="1"/>
  <c r="U333" i="1"/>
  <c r="V333" i="1" s="1"/>
  <c r="S333" i="1"/>
  <c r="Q333" i="1"/>
  <c r="P333" i="1"/>
  <c r="O333" i="1"/>
  <c r="M333" i="1"/>
  <c r="L333" i="1"/>
  <c r="K333" i="1"/>
  <c r="W331" i="1"/>
  <c r="U331" i="1"/>
  <c r="S331" i="1"/>
  <c r="O331" i="1"/>
  <c r="L331" i="1"/>
  <c r="O330" i="1"/>
  <c r="O329" i="1" s="1"/>
  <c r="N330" i="1"/>
  <c r="R330" i="1" s="1"/>
  <c r="Q329" i="1"/>
  <c r="P329" i="1"/>
  <c r="M329" i="1"/>
  <c r="K329" i="1"/>
  <c r="W327" i="1"/>
  <c r="U327" i="1"/>
  <c r="S327" i="1"/>
  <c r="O327" i="1"/>
  <c r="N327" i="1"/>
  <c r="R327" i="1" s="1"/>
  <c r="L327" i="1"/>
  <c r="W326" i="1"/>
  <c r="U326" i="1"/>
  <c r="S326" i="1"/>
  <c r="R326" i="1"/>
  <c r="V326" i="1" s="1"/>
  <c r="O326" i="1"/>
  <c r="N326" i="1"/>
  <c r="V325" i="1"/>
  <c r="R325" i="1"/>
  <c r="O325" i="1"/>
  <c r="N325" i="1"/>
  <c r="W324" i="1"/>
  <c r="U324" i="1"/>
  <c r="S324" i="1"/>
  <c r="Q324" i="1"/>
  <c r="P324" i="1"/>
  <c r="O324" i="1"/>
  <c r="M324" i="1"/>
  <c r="L324" i="1"/>
  <c r="K324" i="1"/>
  <c r="W322" i="1"/>
  <c r="U322" i="1"/>
  <c r="S322" i="1"/>
  <c r="N322" i="1"/>
  <c r="R322" i="1" s="1"/>
  <c r="V322" i="1" s="1"/>
  <c r="L322" i="1"/>
  <c r="W321" i="1"/>
  <c r="U321" i="1"/>
  <c r="S321" i="1"/>
  <c r="R321" i="1"/>
  <c r="X321" i="1" s="1"/>
  <c r="O321" i="1"/>
  <c r="N321" i="1"/>
  <c r="L321" i="1"/>
  <c r="L318" i="1" s="1"/>
  <c r="X320" i="1"/>
  <c r="W320" i="1"/>
  <c r="U320" i="1"/>
  <c r="T320" i="1"/>
  <c r="S320" i="1"/>
  <c r="R320" i="1"/>
  <c r="N320" i="1"/>
  <c r="X319" i="1"/>
  <c r="R319" i="1"/>
  <c r="N319" i="1"/>
  <c r="W318" i="1"/>
  <c r="U318" i="1"/>
  <c r="Q318" i="1"/>
  <c r="P318" i="1"/>
  <c r="O318" i="1"/>
  <c r="M318" i="1"/>
  <c r="K318" i="1"/>
  <c r="W316" i="1"/>
  <c r="U316" i="1"/>
  <c r="S316" i="1"/>
  <c r="O316" i="1"/>
  <c r="L316" i="1"/>
  <c r="W315" i="1"/>
  <c r="W314" i="1" s="1"/>
  <c r="U315" i="1"/>
  <c r="S315" i="1"/>
  <c r="N315" i="1"/>
  <c r="U314" i="1"/>
  <c r="S314" i="1"/>
  <c r="Q314" i="1"/>
  <c r="P314" i="1"/>
  <c r="O314" i="1"/>
  <c r="M314" i="1"/>
  <c r="K314" i="1"/>
  <c r="W312" i="1"/>
  <c r="U312" i="1"/>
  <c r="S312" i="1"/>
  <c r="O312" i="1"/>
  <c r="N312" i="1"/>
  <c r="L312" i="1"/>
  <c r="W311" i="1"/>
  <c r="U311" i="1"/>
  <c r="S311" i="1"/>
  <c r="R311" i="1"/>
  <c r="N311" i="1"/>
  <c r="U310" i="1"/>
  <c r="Q310" i="1"/>
  <c r="P310" i="1"/>
  <c r="O310" i="1"/>
  <c r="M310" i="1"/>
  <c r="L310" i="1"/>
  <c r="K310" i="1"/>
  <c r="W308" i="1"/>
  <c r="W305" i="1" s="1"/>
  <c r="U308" i="1"/>
  <c r="S308" i="1"/>
  <c r="S305" i="1" s="1"/>
  <c r="O308" i="1"/>
  <c r="N308" i="1"/>
  <c r="R308" i="1" s="1"/>
  <c r="L308" i="1"/>
  <c r="W307" i="1"/>
  <c r="U307" i="1"/>
  <c r="S307" i="1"/>
  <c r="R307" i="1"/>
  <c r="V307" i="1" s="1"/>
  <c r="N307" i="1"/>
  <c r="W306" i="1"/>
  <c r="U306" i="1"/>
  <c r="S306" i="1"/>
  <c r="R306" i="1"/>
  <c r="V306" i="1" s="1"/>
  <c r="N306" i="1"/>
  <c r="U305" i="1"/>
  <c r="Q305" i="1"/>
  <c r="P305" i="1"/>
  <c r="O305" i="1"/>
  <c r="M305" i="1"/>
  <c r="L305" i="1"/>
  <c r="K305" i="1"/>
  <c r="W303" i="1"/>
  <c r="U303" i="1"/>
  <c r="S303" i="1"/>
  <c r="R303" i="1"/>
  <c r="V303" i="1" s="1"/>
  <c r="N303" i="1"/>
  <c r="W302" i="1"/>
  <c r="U302" i="1"/>
  <c r="S302" i="1"/>
  <c r="R302" i="1"/>
  <c r="V302" i="1" s="1"/>
  <c r="Q302" i="1"/>
  <c r="P302" i="1"/>
  <c r="O302" i="1"/>
  <c r="N302" i="1"/>
  <c r="M302" i="1"/>
  <c r="L302" i="1"/>
  <c r="K302" i="1"/>
  <c r="W300" i="1"/>
  <c r="U300" i="1"/>
  <c r="S300" i="1"/>
  <c r="O300" i="1"/>
  <c r="N300" i="1"/>
  <c r="R300" i="1" s="1"/>
  <c r="L300" i="1"/>
  <c r="W299" i="1"/>
  <c r="U299" i="1"/>
  <c r="S299" i="1"/>
  <c r="L299" i="1"/>
  <c r="W298" i="1"/>
  <c r="U298" i="1"/>
  <c r="S298" i="1"/>
  <c r="Q298" i="1"/>
  <c r="P298" i="1"/>
  <c r="O298" i="1"/>
  <c r="M298" i="1"/>
  <c r="K298" i="1"/>
  <c r="W296" i="1"/>
  <c r="U296" i="1"/>
  <c r="V296" i="1" s="1"/>
  <c r="S296" i="1"/>
  <c r="N296" i="1"/>
  <c r="R296" i="1" s="1"/>
  <c r="M296" i="1"/>
  <c r="N295" i="1"/>
  <c r="W294" i="1"/>
  <c r="U294" i="1"/>
  <c r="S294" i="1"/>
  <c r="Q294" i="1"/>
  <c r="P294" i="1"/>
  <c r="O294" i="1"/>
  <c r="M294" i="1"/>
  <c r="L294" i="1"/>
  <c r="K294" i="1"/>
  <c r="W292" i="1"/>
  <c r="U292" i="1"/>
  <c r="S292" i="1"/>
  <c r="O292" i="1"/>
  <c r="L292" i="1"/>
  <c r="U291" i="1"/>
  <c r="Q291" i="1"/>
  <c r="P291" i="1"/>
  <c r="O291" i="1"/>
  <c r="M291" i="1"/>
  <c r="K291" i="1"/>
  <c r="R289" i="1"/>
  <c r="N289" i="1"/>
  <c r="X288" i="1"/>
  <c r="W288" i="1"/>
  <c r="U288" i="1"/>
  <c r="T288" i="1"/>
  <c r="S288" i="1"/>
  <c r="R288" i="1"/>
  <c r="V288" i="1" s="1"/>
  <c r="Q288" i="1"/>
  <c r="P288" i="1"/>
  <c r="O288" i="1"/>
  <c r="N288" i="1"/>
  <c r="M288" i="1"/>
  <c r="L288" i="1"/>
  <c r="K288" i="1"/>
  <c r="X286" i="1"/>
  <c r="S286" i="1"/>
  <c r="R286" i="1"/>
  <c r="V286" i="1" s="1"/>
  <c r="O286" i="1"/>
  <c r="N286" i="1"/>
  <c r="L286" i="1"/>
  <c r="L284" i="1" s="1"/>
  <c r="W285" i="1"/>
  <c r="U285" i="1"/>
  <c r="S285" i="1"/>
  <c r="O285" i="1"/>
  <c r="N285" i="1"/>
  <c r="N284" i="1" s="1"/>
  <c r="W284" i="1"/>
  <c r="U284" i="1"/>
  <c r="S284" i="1"/>
  <c r="Q284" i="1"/>
  <c r="P284" i="1"/>
  <c r="O284" i="1"/>
  <c r="M284" i="1"/>
  <c r="K284" i="1"/>
  <c r="W282" i="1"/>
  <c r="U282" i="1"/>
  <c r="S282" i="1"/>
  <c r="T282" i="1" s="1"/>
  <c r="O282" i="1"/>
  <c r="L282" i="1"/>
  <c r="N282" i="1" s="1"/>
  <c r="R282" i="1" s="1"/>
  <c r="W281" i="1"/>
  <c r="U281" i="1"/>
  <c r="S281" i="1"/>
  <c r="M281" i="1"/>
  <c r="L281" i="1"/>
  <c r="L279" i="1" s="1"/>
  <c r="O280" i="1"/>
  <c r="N280" i="1"/>
  <c r="Q279" i="1"/>
  <c r="P279" i="1"/>
  <c r="M279" i="1"/>
  <c r="K279" i="1"/>
  <c r="W277" i="1"/>
  <c r="U277" i="1"/>
  <c r="U274" i="1" s="1"/>
  <c r="S277" i="1"/>
  <c r="O277" i="1"/>
  <c r="N277" i="1"/>
  <c r="R277" i="1" s="1"/>
  <c r="L277" i="1"/>
  <c r="W276" i="1"/>
  <c r="U276" i="1"/>
  <c r="S276" i="1"/>
  <c r="L276" i="1"/>
  <c r="O275" i="1"/>
  <c r="N275" i="1"/>
  <c r="W274" i="1"/>
  <c r="S274" i="1"/>
  <c r="Q274" i="1"/>
  <c r="P274" i="1"/>
  <c r="M274" i="1"/>
  <c r="K274" i="1"/>
  <c r="W272" i="1"/>
  <c r="U272" i="1"/>
  <c r="S272" i="1"/>
  <c r="O272" i="1"/>
  <c r="N272" i="1"/>
  <c r="R272" i="1" s="1"/>
  <c r="L272" i="1"/>
  <c r="L271" i="1"/>
  <c r="W270" i="1"/>
  <c r="U270" i="1"/>
  <c r="S270" i="1"/>
  <c r="N270" i="1"/>
  <c r="M270" i="1"/>
  <c r="S269" i="1"/>
  <c r="S268" i="1" s="1"/>
  <c r="O269" i="1"/>
  <c r="N269" i="1"/>
  <c r="Q268" i="1"/>
  <c r="P268" i="1"/>
  <c r="M268" i="1"/>
  <c r="K268" i="1"/>
  <c r="W266" i="1"/>
  <c r="U266" i="1"/>
  <c r="S266" i="1"/>
  <c r="R266" i="1"/>
  <c r="V266" i="1" s="1"/>
  <c r="N266" i="1"/>
  <c r="W265" i="1"/>
  <c r="U265" i="1"/>
  <c r="S265" i="1"/>
  <c r="R265" i="1"/>
  <c r="V265" i="1" s="1"/>
  <c r="N265" i="1"/>
  <c r="W264" i="1"/>
  <c r="U264" i="1"/>
  <c r="S264" i="1"/>
  <c r="R264" i="1"/>
  <c r="V264" i="1" s="1"/>
  <c r="Q264" i="1"/>
  <c r="P264" i="1"/>
  <c r="O264" i="1"/>
  <c r="N264" i="1"/>
  <c r="M264" i="1"/>
  <c r="L264" i="1"/>
  <c r="K264" i="1"/>
  <c r="X262" i="1"/>
  <c r="W262" i="1"/>
  <c r="U262" i="1"/>
  <c r="T262" i="1"/>
  <c r="S262" i="1"/>
  <c r="R262" i="1"/>
  <c r="V262" i="1" s="1"/>
  <c r="N262" i="1"/>
  <c r="N261" i="1"/>
  <c r="W260" i="1"/>
  <c r="U260" i="1"/>
  <c r="S260" i="1"/>
  <c r="Q260" i="1"/>
  <c r="P260" i="1"/>
  <c r="O260" i="1"/>
  <c r="M260" i="1"/>
  <c r="L260" i="1"/>
  <c r="K260" i="1"/>
  <c r="W258" i="1"/>
  <c r="U258" i="1"/>
  <c r="S258" i="1"/>
  <c r="N258" i="1"/>
  <c r="R258" i="1" s="1"/>
  <c r="W257" i="1"/>
  <c r="U257" i="1"/>
  <c r="S257" i="1"/>
  <c r="R257" i="1"/>
  <c r="Q257" i="1"/>
  <c r="P257" i="1"/>
  <c r="O257" i="1"/>
  <c r="N257" i="1"/>
  <c r="M257" i="1"/>
  <c r="L257" i="1"/>
  <c r="K257" i="1"/>
  <c r="X255" i="1"/>
  <c r="W255" i="1"/>
  <c r="U255" i="1"/>
  <c r="V255" i="1" s="1"/>
  <c r="S255" i="1"/>
  <c r="O255" i="1"/>
  <c r="O253" i="1" s="1"/>
  <c r="N255" i="1"/>
  <c r="R255" i="1" s="1"/>
  <c r="L255" i="1"/>
  <c r="W254" i="1"/>
  <c r="U254" i="1"/>
  <c r="S254" i="1"/>
  <c r="Q254" i="1"/>
  <c r="M254" i="1"/>
  <c r="M253" i="1" s="1"/>
  <c r="L254" i="1"/>
  <c r="Q253" i="1"/>
  <c r="P253" i="1"/>
  <c r="L253" i="1"/>
  <c r="K253" i="1"/>
  <c r="W251" i="1"/>
  <c r="U251" i="1"/>
  <c r="S251" i="1"/>
  <c r="M251" i="1"/>
  <c r="W250" i="1"/>
  <c r="U250" i="1"/>
  <c r="Q250" i="1"/>
  <c r="P250" i="1"/>
  <c r="O250" i="1"/>
  <c r="L250" i="1"/>
  <c r="K250" i="1"/>
  <c r="W248" i="1"/>
  <c r="X248" i="1" s="1"/>
  <c r="U248" i="1"/>
  <c r="S248" i="1"/>
  <c r="R248" i="1"/>
  <c r="R247" i="1" s="1"/>
  <c r="T247" i="1" s="1"/>
  <c r="N248" i="1"/>
  <c r="L248" i="1"/>
  <c r="W247" i="1"/>
  <c r="S247" i="1"/>
  <c r="Q247" i="1"/>
  <c r="P247" i="1"/>
  <c r="O247" i="1"/>
  <c r="N247" i="1"/>
  <c r="M247" i="1"/>
  <c r="L247" i="1"/>
  <c r="K247" i="1"/>
  <c r="W245" i="1"/>
  <c r="U245" i="1"/>
  <c r="S245" i="1"/>
  <c r="L245" i="1"/>
  <c r="W244" i="1"/>
  <c r="U244" i="1"/>
  <c r="S244" i="1"/>
  <c r="Q244" i="1"/>
  <c r="P244" i="1"/>
  <c r="O244" i="1"/>
  <c r="M244" i="1"/>
  <c r="K244" i="1"/>
  <c r="W242" i="1"/>
  <c r="U242" i="1"/>
  <c r="U241" i="1" s="1"/>
  <c r="S242" i="1"/>
  <c r="M242" i="1"/>
  <c r="M241" i="1" s="1"/>
  <c r="L242" i="1"/>
  <c r="L241" i="1" s="1"/>
  <c r="W241" i="1"/>
  <c r="Q241" i="1"/>
  <c r="P241" i="1"/>
  <c r="O241" i="1"/>
  <c r="K241" i="1"/>
  <c r="W239" i="1"/>
  <c r="U239" i="1"/>
  <c r="S239" i="1"/>
  <c r="O239" i="1"/>
  <c r="O237" i="1" s="1"/>
  <c r="M239" i="1"/>
  <c r="N239" i="1" s="1"/>
  <c r="L239" i="1"/>
  <c r="W238" i="1"/>
  <c r="U238" i="1"/>
  <c r="S238" i="1"/>
  <c r="M238" i="1"/>
  <c r="M237" i="1" s="1"/>
  <c r="L238" i="1"/>
  <c r="N238" i="1" s="1"/>
  <c r="R238" i="1" s="1"/>
  <c r="U237" i="1"/>
  <c r="Q237" i="1"/>
  <c r="P237" i="1"/>
  <c r="L237" i="1"/>
  <c r="K237" i="1"/>
  <c r="W235" i="1"/>
  <c r="U235" i="1"/>
  <c r="S235" i="1"/>
  <c r="O235" i="1"/>
  <c r="M235" i="1"/>
  <c r="M233" i="1" s="1"/>
  <c r="L235" i="1"/>
  <c r="N235" i="1" s="1"/>
  <c r="R235" i="1" s="1"/>
  <c r="W234" i="1"/>
  <c r="U234" i="1"/>
  <c r="U233" i="1" s="1"/>
  <c r="S234" i="1"/>
  <c r="N234" i="1"/>
  <c r="L234" i="1"/>
  <c r="W233" i="1"/>
  <c r="Q233" i="1"/>
  <c r="P233" i="1"/>
  <c r="O233" i="1"/>
  <c r="K233" i="1"/>
  <c r="X231" i="1"/>
  <c r="W231" i="1"/>
  <c r="U231" i="1"/>
  <c r="T231" i="1"/>
  <c r="S231" i="1"/>
  <c r="R231" i="1"/>
  <c r="V231" i="1" s="1"/>
  <c r="N231" i="1"/>
  <c r="X230" i="1"/>
  <c r="W230" i="1"/>
  <c r="U230" i="1"/>
  <c r="T230" i="1"/>
  <c r="S230" i="1"/>
  <c r="R230" i="1"/>
  <c r="V230" i="1" s="1"/>
  <c r="Q230" i="1"/>
  <c r="P230" i="1"/>
  <c r="O230" i="1"/>
  <c r="N230" i="1"/>
  <c r="M230" i="1"/>
  <c r="L230" i="1"/>
  <c r="K230" i="1"/>
  <c r="W228" i="1"/>
  <c r="U228" i="1"/>
  <c r="S228" i="1"/>
  <c r="R228" i="1"/>
  <c r="X228" i="1" s="1"/>
  <c r="O228" i="1"/>
  <c r="O226" i="1" s="1"/>
  <c r="N228" i="1"/>
  <c r="L228" i="1"/>
  <c r="W227" i="1"/>
  <c r="W226" i="1" s="1"/>
  <c r="U227" i="1"/>
  <c r="S227" i="1"/>
  <c r="S226" i="1" s="1"/>
  <c r="O227" i="1"/>
  <c r="N227" i="1"/>
  <c r="N226" i="1" s="1"/>
  <c r="L227" i="1"/>
  <c r="U226" i="1"/>
  <c r="Q226" i="1"/>
  <c r="P226" i="1"/>
  <c r="M226" i="1"/>
  <c r="L226" i="1"/>
  <c r="K226" i="1"/>
  <c r="R224" i="1"/>
  <c r="O224" i="1"/>
  <c r="O221" i="1" s="1"/>
  <c r="N224" i="1"/>
  <c r="L224" i="1"/>
  <c r="W223" i="1"/>
  <c r="W221" i="1" s="1"/>
  <c r="U223" i="1"/>
  <c r="S223" i="1"/>
  <c r="S221" i="1" s="1"/>
  <c r="L223" i="1"/>
  <c r="N223" i="1" s="1"/>
  <c r="R223" i="1" s="1"/>
  <c r="R222" i="1"/>
  <c r="N222" i="1"/>
  <c r="U221" i="1"/>
  <c r="Q221" i="1"/>
  <c r="P221" i="1"/>
  <c r="M221" i="1"/>
  <c r="K221" i="1"/>
  <c r="W219" i="1"/>
  <c r="U219" i="1"/>
  <c r="S219" i="1"/>
  <c r="R219" i="1"/>
  <c r="R218" i="1" s="1"/>
  <c r="O219" i="1"/>
  <c r="N219" i="1"/>
  <c r="N218" i="1" s="1"/>
  <c r="W218" i="1"/>
  <c r="X218" i="1" s="1"/>
  <c r="U218" i="1"/>
  <c r="V218" i="1" s="1"/>
  <c r="S218" i="1"/>
  <c r="T218" i="1" s="1"/>
  <c r="Q218" i="1"/>
  <c r="P218" i="1"/>
  <c r="O218" i="1"/>
  <c r="M218" i="1"/>
  <c r="L218" i="1"/>
  <c r="K218" i="1"/>
  <c r="W216" i="1"/>
  <c r="U216" i="1"/>
  <c r="U212" i="1" s="1"/>
  <c r="S216" i="1"/>
  <c r="N216" i="1"/>
  <c r="R216" i="1" s="1"/>
  <c r="L216" i="1"/>
  <c r="S215" i="1"/>
  <c r="L215" i="1"/>
  <c r="O214" i="1"/>
  <c r="N214" i="1"/>
  <c r="R214" i="1" s="1"/>
  <c r="W213" i="1"/>
  <c r="U213" i="1"/>
  <c r="S213" i="1"/>
  <c r="O213" i="1"/>
  <c r="N213" i="1"/>
  <c r="R213" i="1" s="1"/>
  <c r="W212" i="1"/>
  <c r="S212" i="1"/>
  <c r="Q212" i="1"/>
  <c r="P212" i="1"/>
  <c r="O212" i="1"/>
  <c r="M212" i="1"/>
  <c r="K212" i="1"/>
  <c r="W210" i="1"/>
  <c r="U210" i="1"/>
  <c r="S210" i="1"/>
  <c r="T210" i="1" s="1"/>
  <c r="N210" i="1"/>
  <c r="R210" i="1" s="1"/>
  <c r="L210" i="1"/>
  <c r="T209" i="1"/>
  <c r="S209" i="1"/>
  <c r="O209" i="1"/>
  <c r="N209" i="1"/>
  <c r="R209" i="1" s="1"/>
  <c r="L209" i="1"/>
  <c r="S208" i="1"/>
  <c r="O208" i="1"/>
  <c r="M208" i="1"/>
  <c r="L208" i="1"/>
  <c r="N208" i="1" s="1"/>
  <c r="R208" i="1" s="1"/>
  <c r="O207" i="1"/>
  <c r="O205" i="1" s="1"/>
  <c r="N207" i="1"/>
  <c r="S206" i="1"/>
  <c r="O206" i="1"/>
  <c r="L206" i="1"/>
  <c r="N206" i="1" s="1"/>
  <c r="U205" i="1"/>
  <c r="Q205" i="1"/>
  <c r="P205" i="1"/>
  <c r="M205" i="1"/>
  <c r="L205" i="1"/>
  <c r="K205" i="1"/>
  <c r="W203" i="1"/>
  <c r="U203" i="1"/>
  <c r="S203" i="1"/>
  <c r="R203" i="1"/>
  <c r="L203" i="1"/>
  <c r="N203" i="1" s="1"/>
  <c r="S202" i="1"/>
  <c r="N202" i="1"/>
  <c r="R202" i="1" s="1"/>
  <c r="L202" i="1"/>
  <c r="R201" i="1"/>
  <c r="O201" i="1"/>
  <c r="N201" i="1"/>
  <c r="T200" i="1"/>
  <c r="S200" i="1"/>
  <c r="N200" i="1"/>
  <c r="R200" i="1" s="1"/>
  <c r="X200" i="1" s="1"/>
  <c r="L200" i="1"/>
  <c r="W199" i="1"/>
  <c r="U199" i="1"/>
  <c r="U198" i="1" s="1"/>
  <c r="S199" i="1"/>
  <c r="O199" i="1"/>
  <c r="N199" i="1"/>
  <c r="M199" i="1"/>
  <c r="W198" i="1"/>
  <c r="Q198" i="1"/>
  <c r="P198" i="1"/>
  <c r="O198" i="1"/>
  <c r="M198" i="1"/>
  <c r="L198" i="1"/>
  <c r="K198" i="1"/>
  <c r="O196" i="1"/>
  <c r="L196" i="1"/>
  <c r="N196" i="1" s="1"/>
  <c r="R196" i="1" s="1"/>
  <c r="O195" i="1"/>
  <c r="L195" i="1"/>
  <c r="N195" i="1" s="1"/>
  <c r="R195" i="1" s="1"/>
  <c r="W194" i="1"/>
  <c r="U194" i="1"/>
  <c r="U192" i="1" s="1"/>
  <c r="S194" i="1"/>
  <c r="Q194" i="1"/>
  <c r="Q192" i="1" s="1"/>
  <c r="M194" i="1"/>
  <c r="L194" i="1"/>
  <c r="N194" i="1" s="1"/>
  <c r="R193" i="1"/>
  <c r="O193" i="1"/>
  <c r="N193" i="1"/>
  <c r="W192" i="1"/>
  <c r="S192" i="1"/>
  <c r="P192" i="1"/>
  <c r="O192" i="1"/>
  <c r="M192" i="1"/>
  <c r="K192" i="1"/>
  <c r="W190" i="1"/>
  <c r="U190" i="1"/>
  <c r="S190" i="1"/>
  <c r="N190" i="1"/>
  <c r="W189" i="1"/>
  <c r="U189" i="1"/>
  <c r="S189" i="1"/>
  <c r="O189" i="1"/>
  <c r="O188" i="1" s="1"/>
  <c r="N189" i="1"/>
  <c r="R189" i="1" s="1"/>
  <c r="W188" i="1"/>
  <c r="U188" i="1"/>
  <c r="S188" i="1"/>
  <c r="Q188" i="1"/>
  <c r="P188" i="1"/>
  <c r="M188" i="1"/>
  <c r="L188" i="1"/>
  <c r="K188" i="1"/>
  <c r="O186" i="1"/>
  <c r="M186" i="1"/>
  <c r="M182" i="1" s="1"/>
  <c r="L186" i="1"/>
  <c r="O185" i="1"/>
  <c r="N185" i="1"/>
  <c r="R185" i="1" s="1"/>
  <c r="L185" i="1"/>
  <c r="W184" i="1"/>
  <c r="V184" i="1"/>
  <c r="U184" i="1"/>
  <c r="U182" i="1" s="1"/>
  <c r="S184" i="1"/>
  <c r="R184" i="1"/>
  <c r="Q184" i="1"/>
  <c r="N184" i="1"/>
  <c r="M184" i="1"/>
  <c r="W183" i="1"/>
  <c r="U183" i="1"/>
  <c r="S183" i="1"/>
  <c r="O183" i="1"/>
  <c r="N183" i="1"/>
  <c r="W182" i="1"/>
  <c r="S182" i="1"/>
  <c r="Q182" i="1"/>
  <c r="P182" i="1"/>
  <c r="O182" i="1"/>
  <c r="L182" i="1"/>
  <c r="K182" i="1"/>
  <c r="W180" i="1"/>
  <c r="U180" i="1"/>
  <c r="S180" i="1"/>
  <c r="R180" i="1"/>
  <c r="N180" i="1"/>
  <c r="M180" i="1"/>
  <c r="O179" i="1"/>
  <c r="O178" i="1" s="1"/>
  <c r="N179" i="1"/>
  <c r="U178" i="1"/>
  <c r="S178" i="1"/>
  <c r="Q178" i="1"/>
  <c r="P178" i="1"/>
  <c r="N178" i="1"/>
  <c r="M178" i="1"/>
  <c r="L178" i="1"/>
  <c r="K178" i="1"/>
  <c r="S176" i="1"/>
  <c r="T176" i="1" s="1"/>
  <c r="O176" i="1"/>
  <c r="M176" i="1"/>
  <c r="L176" i="1"/>
  <c r="N176" i="1" s="1"/>
  <c r="R176" i="1" s="1"/>
  <c r="O175" i="1"/>
  <c r="L175" i="1"/>
  <c r="N175" i="1" s="1"/>
  <c r="R175" i="1" s="1"/>
  <c r="W174" i="1"/>
  <c r="U174" i="1"/>
  <c r="S174" i="1"/>
  <c r="N174" i="1"/>
  <c r="R174" i="1" s="1"/>
  <c r="L174" i="1"/>
  <c r="O173" i="1"/>
  <c r="N173" i="1"/>
  <c r="W172" i="1"/>
  <c r="U172" i="1"/>
  <c r="S172" i="1"/>
  <c r="O172" i="1"/>
  <c r="N172" i="1"/>
  <c r="W171" i="1"/>
  <c r="Q171" i="1"/>
  <c r="P171" i="1"/>
  <c r="O171" i="1"/>
  <c r="M171" i="1"/>
  <c r="K171" i="1"/>
  <c r="S169" i="1"/>
  <c r="T169" i="1" s="1"/>
  <c r="O169" i="1"/>
  <c r="M169" i="1"/>
  <c r="L169" i="1"/>
  <c r="N169" i="1" s="1"/>
  <c r="R169" i="1" s="1"/>
  <c r="V169" i="1" s="1"/>
  <c r="W168" i="1"/>
  <c r="U168" i="1"/>
  <c r="S168" i="1"/>
  <c r="O168" i="1"/>
  <c r="R168" i="1" s="1"/>
  <c r="N168" i="1"/>
  <c r="L168" i="1"/>
  <c r="O167" i="1"/>
  <c r="R167" i="1" s="1"/>
  <c r="N167" i="1"/>
  <c r="L167" i="1"/>
  <c r="W166" i="1"/>
  <c r="U166" i="1"/>
  <c r="S166" i="1"/>
  <c r="M166" i="1"/>
  <c r="M163" i="1" s="1"/>
  <c r="L166" i="1"/>
  <c r="O165" i="1"/>
  <c r="N165" i="1"/>
  <c r="R165" i="1" s="1"/>
  <c r="W164" i="1"/>
  <c r="U164" i="1"/>
  <c r="S164" i="1"/>
  <c r="S163" i="1" s="1"/>
  <c r="N164" i="1"/>
  <c r="W163" i="1"/>
  <c r="Q163" i="1"/>
  <c r="P163" i="1"/>
  <c r="O163" i="1"/>
  <c r="L163" i="1"/>
  <c r="K163" i="1"/>
  <c r="W161" i="1"/>
  <c r="U161" i="1"/>
  <c r="S161" i="1"/>
  <c r="S159" i="1" s="1"/>
  <c r="R161" i="1"/>
  <c r="O161" i="1"/>
  <c r="N161" i="1"/>
  <c r="O160" i="1"/>
  <c r="N160" i="1"/>
  <c r="W159" i="1"/>
  <c r="U159" i="1"/>
  <c r="Q159" i="1"/>
  <c r="P159" i="1"/>
  <c r="N159" i="1"/>
  <c r="M159" i="1"/>
  <c r="L159" i="1"/>
  <c r="K159" i="1"/>
  <c r="W157" i="1"/>
  <c r="W156" i="1" s="1"/>
  <c r="U157" i="1"/>
  <c r="S157" i="1"/>
  <c r="N157" i="1"/>
  <c r="U156" i="1"/>
  <c r="S156" i="1"/>
  <c r="Q156" i="1"/>
  <c r="P156" i="1"/>
  <c r="O156" i="1"/>
  <c r="M156" i="1"/>
  <c r="L156" i="1"/>
  <c r="K156" i="1"/>
  <c r="W154" i="1"/>
  <c r="U154" i="1"/>
  <c r="S154" i="1"/>
  <c r="S153" i="1" s="1"/>
  <c r="O154" i="1"/>
  <c r="M154" i="1"/>
  <c r="N154" i="1" s="1"/>
  <c r="N153" i="1" s="1"/>
  <c r="W153" i="1"/>
  <c r="U153" i="1"/>
  <c r="Q153" i="1"/>
  <c r="P153" i="1"/>
  <c r="M153" i="1"/>
  <c r="L153" i="1"/>
  <c r="K153" i="1"/>
  <c r="W151" i="1"/>
  <c r="U151" i="1"/>
  <c r="S151" i="1"/>
  <c r="N151" i="1"/>
  <c r="W150" i="1"/>
  <c r="U150" i="1"/>
  <c r="S150" i="1"/>
  <c r="Q150" i="1"/>
  <c r="P150" i="1"/>
  <c r="O150" i="1"/>
  <c r="M150" i="1"/>
  <c r="L150" i="1"/>
  <c r="K150" i="1"/>
  <c r="R148" i="1"/>
  <c r="M148" i="1"/>
  <c r="N148" i="1" s="1"/>
  <c r="M147" i="1"/>
  <c r="N147" i="1" s="1"/>
  <c r="N146" i="1" s="1"/>
  <c r="W146" i="1"/>
  <c r="U146" i="1"/>
  <c r="S146" i="1"/>
  <c r="Q146" i="1"/>
  <c r="P146" i="1"/>
  <c r="O146" i="1"/>
  <c r="L146" i="1"/>
  <c r="K146" i="1"/>
  <c r="V144" i="1"/>
  <c r="R144" i="1"/>
  <c r="N144" i="1"/>
  <c r="W143" i="1"/>
  <c r="U143" i="1"/>
  <c r="S143" i="1"/>
  <c r="O143" i="1"/>
  <c r="N143" i="1"/>
  <c r="N142" i="1" s="1"/>
  <c r="W142" i="1"/>
  <c r="U142" i="1"/>
  <c r="S142" i="1"/>
  <c r="Q142" i="1"/>
  <c r="P142" i="1"/>
  <c r="O142" i="1"/>
  <c r="M142" i="1"/>
  <c r="L142" i="1"/>
  <c r="K142" i="1"/>
  <c r="W140" i="1"/>
  <c r="U140" i="1"/>
  <c r="S140" i="1"/>
  <c r="O140" i="1"/>
  <c r="O134" i="1" s="1"/>
  <c r="L140" i="1"/>
  <c r="N140" i="1" s="1"/>
  <c r="W139" i="1"/>
  <c r="U139" i="1"/>
  <c r="S139" i="1"/>
  <c r="O139" i="1"/>
  <c r="M139" i="1"/>
  <c r="M134" i="1" s="1"/>
  <c r="L139" i="1"/>
  <c r="S138" i="1"/>
  <c r="O138" i="1"/>
  <c r="N138" i="1"/>
  <c r="R138" i="1" s="1"/>
  <c r="T138" i="1" s="1"/>
  <c r="L138" i="1"/>
  <c r="N137" i="1"/>
  <c r="R137" i="1" s="1"/>
  <c r="V137" i="1" s="1"/>
  <c r="M137" i="1"/>
  <c r="L137" i="1"/>
  <c r="L134" i="1" s="1"/>
  <c r="R136" i="1"/>
  <c r="N136" i="1"/>
  <c r="N135" i="1"/>
  <c r="U134" i="1"/>
  <c r="Q134" i="1"/>
  <c r="P134" i="1"/>
  <c r="K134" i="1"/>
  <c r="W132" i="1"/>
  <c r="U132" i="1"/>
  <c r="S132" i="1"/>
  <c r="N132" i="1"/>
  <c r="R132" i="1" s="1"/>
  <c r="L132" i="1"/>
  <c r="W131" i="1"/>
  <c r="V131" i="1"/>
  <c r="U131" i="1"/>
  <c r="S131" i="1"/>
  <c r="R131" i="1"/>
  <c r="X131" i="1" s="1"/>
  <c r="O131" i="1"/>
  <c r="N131" i="1"/>
  <c r="L131" i="1"/>
  <c r="X130" i="1"/>
  <c r="S130" i="1"/>
  <c r="R130" i="1"/>
  <c r="V130" i="1" s="1"/>
  <c r="O130" i="1"/>
  <c r="N130" i="1"/>
  <c r="L130" i="1"/>
  <c r="R129" i="1"/>
  <c r="O129" i="1"/>
  <c r="N129" i="1"/>
  <c r="L129" i="1"/>
  <c r="W128" i="1"/>
  <c r="U128" i="1"/>
  <c r="U125" i="1" s="1"/>
  <c r="S128" i="1"/>
  <c r="M128" i="1"/>
  <c r="O127" i="1"/>
  <c r="N127" i="1"/>
  <c r="R127" i="1" s="1"/>
  <c r="O126" i="1"/>
  <c r="N126" i="1"/>
  <c r="Q125" i="1"/>
  <c r="P125" i="1"/>
  <c r="L125" i="1"/>
  <c r="K125" i="1"/>
  <c r="W123" i="1"/>
  <c r="U123" i="1"/>
  <c r="S123" i="1"/>
  <c r="R123" i="1"/>
  <c r="X123" i="1" s="1"/>
  <c r="O123" i="1"/>
  <c r="N123" i="1"/>
  <c r="L123" i="1"/>
  <c r="X122" i="1"/>
  <c r="W122" i="1"/>
  <c r="U122" i="1"/>
  <c r="T122" i="1"/>
  <c r="S122" i="1"/>
  <c r="R122" i="1"/>
  <c r="V122" i="1" s="1"/>
  <c r="L122" i="1"/>
  <c r="N122" i="1" s="1"/>
  <c r="W121" i="1"/>
  <c r="U121" i="1"/>
  <c r="S121" i="1"/>
  <c r="N121" i="1"/>
  <c r="R121" i="1" s="1"/>
  <c r="O120" i="1"/>
  <c r="N120" i="1"/>
  <c r="Q119" i="1"/>
  <c r="P119" i="1"/>
  <c r="N119" i="1"/>
  <c r="M119" i="1"/>
  <c r="L119" i="1"/>
  <c r="K119" i="1"/>
  <c r="R116" i="1"/>
  <c r="Q116" i="1"/>
  <c r="N116" i="1"/>
  <c r="N114" i="1" s="1"/>
  <c r="Q115" i="1"/>
  <c r="Q114" i="1" s="1"/>
  <c r="N115" i="1"/>
  <c r="W114" i="1"/>
  <c r="U114" i="1"/>
  <c r="S114" i="1"/>
  <c r="P114" i="1"/>
  <c r="O114" i="1"/>
  <c r="M114" i="1"/>
  <c r="L114" i="1"/>
  <c r="K114" i="1"/>
  <c r="W112" i="1"/>
  <c r="U112" i="1"/>
  <c r="S112" i="1"/>
  <c r="N112" i="1"/>
  <c r="W111" i="1"/>
  <c r="U111" i="1"/>
  <c r="S111" i="1"/>
  <c r="Q111" i="1"/>
  <c r="P111" i="1"/>
  <c r="O111" i="1"/>
  <c r="M111" i="1"/>
  <c r="L111" i="1"/>
  <c r="K111" i="1"/>
  <c r="W109" i="1"/>
  <c r="U109" i="1"/>
  <c r="S109" i="1"/>
  <c r="S108" i="1" s="1"/>
  <c r="N109" i="1"/>
  <c r="W108" i="1"/>
  <c r="U108" i="1"/>
  <c r="Q108" i="1"/>
  <c r="P108" i="1"/>
  <c r="O108" i="1"/>
  <c r="M108" i="1"/>
  <c r="L108" i="1"/>
  <c r="K108" i="1"/>
  <c r="W106" i="1"/>
  <c r="U106" i="1"/>
  <c r="S106" i="1"/>
  <c r="N106" i="1"/>
  <c r="R106" i="1" s="1"/>
  <c r="R105" i="1" s="1"/>
  <c r="M106" i="1"/>
  <c r="Q105" i="1"/>
  <c r="P105" i="1"/>
  <c r="O105" i="1"/>
  <c r="M105" i="1"/>
  <c r="L105" i="1"/>
  <c r="K105" i="1"/>
  <c r="W103" i="1"/>
  <c r="U103" i="1"/>
  <c r="S103" i="1"/>
  <c r="M103" i="1"/>
  <c r="N103" i="1" s="1"/>
  <c r="N102" i="1" s="1"/>
  <c r="W102" i="1"/>
  <c r="U102" i="1"/>
  <c r="S102" i="1"/>
  <c r="Q102" i="1"/>
  <c r="P102" i="1"/>
  <c r="O102" i="1"/>
  <c r="L102" i="1"/>
  <c r="K102" i="1"/>
  <c r="W100" i="1"/>
  <c r="U100" i="1"/>
  <c r="S100" i="1"/>
  <c r="N100" i="1"/>
  <c r="R100" i="1" s="1"/>
  <c r="M100" i="1"/>
  <c r="R99" i="1"/>
  <c r="Q99" i="1"/>
  <c r="P99" i="1"/>
  <c r="O99" i="1"/>
  <c r="N99" i="1"/>
  <c r="M99" i="1"/>
  <c r="L99" i="1"/>
  <c r="K99" i="1"/>
  <c r="X97" i="1"/>
  <c r="N97" i="1"/>
  <c r="R97" i="1" s="1"/>
  <c r="V97" i="1" s="1"/>
  <c r="L97" i="1"/>
  <c r="W96" i="1"/>
  <c r="U96" i="1"/>
  <c r="S96" i="1"/>
  <c r="L96" i="1"/>
  <c r="W95" i="1"/>
  <c r="U95" i="1"/>
  <c r="S95" i="1"/>
  <c r="Q95" i="1"/>
  <c r="P95" i="1"/>
  <c r="O95" i="1"/>
  <c r="M95" i="1"/>
  <c r="K95" i="1"/>
  <c r="W93" i="1"/>
  <c r="U93" i="1"/>
  <c r="S93" i="1"/>
  <c r="N93" i="1"/>
  <c r="R93" i="1" s="1"/>
  <c r="L93" i="1"/>
  <c r="R92" i="1"/>
  <c r="Q92" i="1"/>
  <c r="P92" i="1"/>
  <c r="O92" i="1"/>
  <c r="N92" i="1"/>
  <c r="M92" i="1"/>
  <c r="L92" i="1"/>
  <c r="K92" i="1"/>
  <c r="W90" i="1"/>
  <c r="U90" i="1"/>
  <c r="S90" i="1"/>
  <c r="L90" i="1"/>
  <c r="W89" i="1"/>
  <c r="U89" i="1"/>
  <c r="S89" i="1"/>
  <c r="N89" i="1"/>
  <c r="W88" i="1"/>
  <c r="U88" i="1"/>
  <c r="S88" i="1"/>
  <c r="Q88" i="1"/>
  <c r="P88" i="1"/>
  <c r="O88" i="1"/>
  <c r="M88" i="1"/>
  <c r="K88" i="1"/>
  <c r="W86" i="1"/>
  <c r="W85" i="1" s="1"/>
  <c r="U86" i="1"/>
  <c r="S86" i="1"/>
  <c r="N86" i="1"/>
  <c r="U85" i="1"/>
  <c r="S85" i="1"/>
  <c r="Q85" i="1"/>
  <c r="P85" i="1"/>
  <c r="O85" i="1"/>
  <c r="M85" i="1"/>
  <c r="L85" i="1"/>
  <c r="K85" i="1"/>
  <c r="W83" i="1"/>
  <c r="U83" i="1"/>
  <c r="S83" i="1"/>
  <c r="N83" i="1"/>
  <c r="W82" i="1"/>
  <c r="U82" i="1"/>
  <c r="S82" i="1"/>
  <c r="Q82" i="1"/>
  <c r="P82" i="1"/>
  <c r="O82" i="1"/>
  <c r="M82" i="1"/>
  <c r="L82" i="1"/>
  <c r="K82" i="1"/>
  <c r="W80" i="1"/>
  <c r="U80" i="1"/>
  <c r="T80" i="1"/>
  <c r="S80" i="1"/>
  <c r="S79" i="1" s="1"/>
  <c r="N80" i="1"/>
  <c r="R80" i="1" s="1"/>
  <c r="L80" i="1"/>
  <c r="U79" i="1"/>
  <c r="V79" i="1" s="1"/>
  <c r="R79" i="1"/>
  <c r="T79" i="1" s="1"/>
  <c r="Q79" i="1"/>
  <c r="P79" i="1"/>
  <c r="O79" i="1"/>
  <c r="N79" i="1"/>
  <c r="M79" i="1"/>
  <c r="L79" i="1"/>
  <c r="K79" i="1"/>
  <c r="X77" i="1"/>
  <c r="W77" i="1"/>
  <c r="U77" i="1"/>
  <c r="T77" i="1"/>
  <c r="S77" i="1"/>
  <c r="R77" i="1"/>
  <c r="V77" i="1" s="1"/>
  <c r="N77" i="1"/>
  <c r="X76" i="1"/>
  <c r="W76" i="1"/>
  <c r="U76" i="1"/>
  <c r="T76" i="1"/>
  <c r="S76" i="1"/>
  <c r="R76" i="1"/>
  <c r="V76" i="1" s="1"/>
  <c r="Q76" i="1"/>
  <c r="P76" i="1"/>
  <c r="O76" i="1"/>
  <c r="N76" i="1"/>
  <c r="M76" i="1"/>
  <c r="L76" i="1"/>
  <c r="K76" i="1"/>
  <c r="Q74" i="1"/>
  <c r="L74" i="1"/>
  <c r="Q73" i="1"/>
  <c r="Q72" i="1" s="1"/>
  <c r="N73" i="1"/>
  <c r="R73" i="1" s="1"/>
  <c r="W72" i="1"/>
  <c r="U72" i="1"/>
  <c r="S72" i="1"/>
  <c r="P72" i="1"/>
  <c r="O72" i="1"/>
  <c r="M72" i="1"/>
  <c r="K72" i="1"/>
  <c r="N70" i="1"/>
  <c r="R70" i="1" s="1"/>
  <c r="W69" i="1"/>
  <c r="U69" i="1"/>
  <c r="S69" i="1"/>
  <c r="N69" i="1"/>
  <c r="R69" i="1" s="1"/>
  <c r="W68" i="1"/>
  <c r="U68" i="1"/>
  <c r="S68" i="1"/>
  <c r="Q68" i="1"/>
  <c r="P68" i="1"/>
  <c r="O68" i="1"/>
  <c r="M68" i="1"/>
  <c r="L68" i="1"/>
  <c r="K68" i="1"/>
  <c r="W66" i="1"/>
  <c r="U66" i="1"/>
  <c r="S66" i="1"/>
  <c r="T66" i="1" s="1"/>
  <c r="O66" i="1"/>
  <c r="L66" i="1"/>
  <c r="N66" i="1" s="1"/>
  <c r="R66" i="1" s="1"/>
  <c r="V66" i="1" s="1"/>
  <c r="W65" i="1"/>
  <c r="U65" i="1"/>
  <c r="V65" i="1" s="1"/>
  <c r="S65" i="1"/>
  <c r="O65" i="1"/>
  <c r="O62" i="1" s="1"/>
  <c r="N65" i="1"/>
  <c r="R65" i="1" s="1"/>
  <c r="M65" i="1"/>
  <c r="L65" i="1"/>
  <c r="X64" i="1"/>
  <c r="W64" i="1"/>
  <c r="U64" i="1"/>
  <c r="V64" i="1" s="1"/>
  <c r="S64" i="1"/>
  <c r="T64" i="1" s="1"/>
  <c r="N64" i="1"/>
  <c r="R64" i="1" s="1"/>
  <c r="W63" i="1"/>
  <c r="U63" i="1"/>
  <c r="S63" i="1"/>
  <c r="S62" i="1" s="1"/>
  <c r="L63" i="1"/>
  <c r="N63" i="1" s="1"/>
  <c r="Q62" i="1"/>
  <c r="P62" i="1"/>
  <c r="M62" i="1"/>
  <c r="L62" i="1"/>
  <c r="K62" i="1"/>
  <c r="W60" i="1"/>
  <c r="U60" i="1"/>
  <c r="S60" i="1"/>
  <c r="R60" i="1"/>
  <c r="X60" i="1" s="1"/>
  <c r="O60" i="1"/>
  <c r="N60" i="1"/>
  <c r="L60" i="1"/>
  <c r="W59" i="1"/>
  <c r="U59" i="1"/>
  <c r="S59" i="1"/>
  <c r="O59" i="1"/>
  <c r="N59" i="1"/>
  <c r="R59" i="1" s="1"/>
  <c r="M59" i="1"/>
  <c r="L59" i="1"/>
  <c r="W58" i="1"/>
  <c r="X58" i="1" s="1"/>
  <c r="U58" i="1"/>
  <c r="S58" i="1"/>
  <c r="N58" i="1"/>
  <c r="R58" i="1" s="1"/>
  <c r="T58" i="1" s="1"/>
  <c r="W57" i="1"/>
  <c r="X57" i="1" s="1"/>
  <c r="U57" i="1"/>
  <c r="U55" i="1" s="1"/>
  <c r="T57" i="1"/>
  <c r="S57" i="1"/>
  <c r="N57" i="1"/>
  <c r="R57" i="1" s="1"/>
  <c r="W56" i="1"/>
  <c r="X56" i="1" s="1"/>
  <c r="U56" i="1"/>
  <c r="S56" i="1"/>
  <c r="N56" i="1"/>
  <c r="R56" i="1" s="1"/>
  <c r="M56" i="1"/>
  <c r="L56" i="1"/>
  <c r="L55" i="1" s="1"/>
  <c r="S55" i="1"/>
  <c r="Q55" i="1"/>
  <c r="P55" i="1"/>
  <c r="O55" i="1"/>
  <c r="M55" i="1"/>
  <c r="K55" i="1"/>
  <c r="R53" i="1"/>
  <c r="T53" i="1" s="1"/>
  <c r="O53" i="1"/>
  <c r="N53" i="1"/>
  <c r="L53" i="1"/>
  <c r="W52" i="1"/>
  <c r="U52" i="1"/>
  <c r="S52" i="1"/>
  <c r="O52" i="1"/>
  <c r="N52" i="1"/>
  <c r="R52" i="1" s="1"/>
  <c r="W51" i="1"/>
  <c r="W49" i="1" s="1"/>
  <c r="U51" i="1"/>
  <c r="T51" i="1"/>
  <c r="S51" i="1"/>
  <c r="N51" i="1"/>
  <c r="R51" i="1" s="1"/>
  <c r="L51" i="1"/>
  <c r="W50" i="1"/>
  <c r="U50" i="1"/>
  <c r="U49" i="1" s="1"/>
  <c r="S50" i="1"/>
  <c r="M50" i="1"/>
  <c r="M49" i="1" s="1"/>
  <c r="L50" i="1"/>
  <c r="S49" i="1"/>
  <c r="Q49" i="1"/>
  <c r="P49" i="1"/>
  <c r="O49" i="1"/>
  <c r="L49" i="1"/>
  <c r="K49" i="1"/>
  <c r="W47" i="1"/>
  <c r="U47" i="1"/>
  <c r="S47" i="1"/>
  <c r="R47" i="1"/>
  <c r="V47" i="1" s="1"/>
  <c r="N47" i="1"/>
  <c r="W46" i="1"/>
  <c r="U46" i="1"/>
  <c r="S46" i="1"/>
  <c r="R46" i="1"/>
  <c r="V46" i="1" s="1"/>
  <c r="N46" i="1"/>
  <c r="W45" i="1"/>
  <c r="U45" i="1"/>
  <c r="S45" i="1"/>
  <c r="L45" i="1"/>
  <c r="L44" i="1" s="1"/>
  <c r="W44" i="1"/>
  <c r="U44" i="1"/>
  <c r="S44" i="1"/>
  <c r="Q44" i="1"/>
  <c r="P44" i="1"/>
  <c r="O44" i="1"/>
  <c r="M44" i="1"/>
  <c r="K44" i="1"/>
  <c r="W42" i="1"/>
  <c r="U42" i="1"/>
  <c r="S42" i="1"/>
  <c r="O42" i="1"/>
  <c r="N42" i="1"/>
  <c r="R42" i="1" s="1"/>
  <c r="X42" i="1" s="1"/>
  <c r="L42" i="1"/>
  <c r="W41" i="1"/>
  <c r="U41" i="1"/>
  <c r="S41" i="1"/>
  <c r="R41" i="1"/>
  <c r="O41" i="1"/>
  <c r="N41" i="1"/>
  <c r="W40" i="1"/>
  <c r="X40" i="1" s="1"/>
  <c r="U40" i="1"/>
  <c r="S40" i="1"/>
  <c r="T40" i="1" s="1"/>
  <c r="L40" i="1"/>
  <c r="N40" i="1" s="1"/>
  <c r="R40" i="1" s="1"/>
  <c r="V40" i="1" s="1"/>
  <c r="W39" i="1"/>
  <c r="U39" i="1"/>
  <c r="S39" i="1"/>
  <c r="M39" i="1"/>
  <c r="L39" i="1"/>
  <c r="L38" i="1" s="1"/>
  <c r="S38" i="1"/>
  <c r="Q38" i="1"/>
  <c r="P38" i="1"/>
  <c r="O38" i="1"/>
  <c r="M38" i="1"/>
  <c r="K38" i="1"/>
  <c r="X36" i="1"/>
  <c r="W36" i="1"/>
  <c r="U36" i="1"/>
  <c r="S36" i="1"/>
  <c r="O36" i="1"/>
  <c r="O33" i="1" s="1"/>
  <c r="N36" i="1"/>
  <c r="R36" i="1" s="1"/>
  <c r="L36" i="1"/>
  <c r="V35" i="1"/>
  <c r="R35" i="1"/>
  <c r="X35" i="1" s="1"/>
  <c r="N35" i="1"/>
  <c r="W34" i="1"/>
  <c r="U34" i="1"/>
  <c r="S34" i="1"/>
  <c r="O34" i="1"/>
  <c r="N34" i="1"/>
  <c r="N33" i="1" s="1"/>
  <c r="M34" i="1"/>
  <c r="U33" i="1"/>
  <c r="Q33" i="1"/>
  <c r="P33" i="1"/>
  <c r="M33" i="1"/>
  <c r="L33" i="1"/>
  <c r="K33" i="1"/>
  <c r="O31" i="1"/>
  <c r="N31" i="1"/>
  <c r="R31" i="1" s="1"/>
  <c r="L31" i="1"/>
  <c r="Q30" i="1"/>
  <c r="Q29" i="1" s="1"/>
  <c r="L30" i="1"/>
  <c r="L29" i="1" s="1"/>
  <c r="W29" i="1"/>
  <c r="U29" i="1"/>
  <c r="S29" i="1"/>
  <c r="P29" i="1"/>
  <c r="O29" i="1"/>
  <c r="M29" i="1"/>
  <c r="K29" i="1"/>
  <c r="R27" i="1"/>
  <c r="O27" i="1"/>
  <c r="N27" i="1"/>
  <c r="Q26" i="1"/>
  <c r="Q25" i="1" s="1"/>
  <c r="M26" i="1"/>
  <c r="N26" i="1" s="1"/>
  <c r="W25" i="1"/>
  <c r="U25" i="1"/>
  <c r="S25" i="1"/>
  <c r="P25" i="1"/>
  <c r="O25" i="1"/>
  <c r="M25" i="1"/>
  <c r="L25" i="1"/>
  <c r="K25" i="1"/>
  <c r="N23" i="1"/>
  <c r="R23" i="1" s="1"/>
  <c r="M23" i="1"/>
  <c r="M22" i="1"/>
  <c r="M21" i="1" s="1"/>
  <c r="W21" i="1"/>
  <c r="U21" i="1"/>
  <c r="S21" i="1"/>
  <c r="Q21" i="1"/>
  <c r="P21" i="1"/>
  <c r="O21" i="1"/>
  <c r="L21" i="1"/>
  <c r="K21" i="1"/>
  <c r="M19" i="1"/>
  <c r="N19" i="1" s="1"/>
  <c r="R19" i="1" s="1"/>
  <c r="N18" i="1"/>
  <c r="M18" i="1"/>
  <c r="W17" i="1"/>
  <c r="U17" i="1"/>
  <c r="S17" i="1"/>
  <c r="Q17" i="1"/>
  <c r="P17" i="1"/>
  <c r="P117" i="1" s="1"/>
  <c r="O17" i="1"/>
  <c r="L17" i="1"/>
  <c r="K17" i="1"/>
  <c r="M15" i="1"/>
  <c r="N15" i="1" s="1"/>
  <c r="R15" i="1" s="1"/>
  <c r="M14" i="1"/>
  <c r="N14" i="1" s="1"/>
  <c r="R14" i="1" s="1"/>
  <c r="R13" i="1" s="1"/>
  <c r="W13" i="1"/>
  <c r="U13" i="1"/>
  <c r="S13" i="1"/>
  <c r="Q13" i="1"/>
  <c r="P13" i="1"/>
  <c r="O13" i="1"/>
  <c r="L13" i="1"/>
  <c r="K13" i="1"/>
  <c r="R26" i="1" l="1"/>
  <c r="N25" i="1"/>
  <c r="V52" i="1"/>
  <c r="X52" i="1"/>
  <c r="T52" i="1"/>
  <c r="V59" i="1"/>
  <c r="X59" i="1"/>
  <c r="T59" i="1"/>
  <c r="X65" i="1"/>
  <c r="T65" i="1"/>
  <c r="T108" i="1"/>
  <c r="R55" i="1"/>
  <c r="T55" i="1" s="1"/>
  <c r="R63" i="1"/>
  <c r="N62" i="1"/>
  <c r="X66" i="1"/>
  <c r="V68" i="1"/>
  <c r="V69" i="1"/>
  <c r="X69" i="1"/>
  <c r="T69" i="1"/>
  <c r="R68" i="1"/>
  <c r="T70" i="1"/>
  <c r="X70" i="1"/>
  <c r="V70" i="1"/>
  <c r="T73" i="1"/>
  <c r="X73" i="1"/>
  <c r="V73" i="1"/>
  <c r="N13" i="1"/>
  <c r="V60" i="1"/>
  <c r="W92" i="1"/>
  <c r="X92" i="1" s="1"/>
  <c r="X93" i="1"/>
  <c r="W99" i="1"/>
  <c r="X99" i="1" s="1"/>
  <c r="X100" i="1"/>
  <c r="U105" i="1"/>
  <c r="V105" i="1" s="1"/>
  <c r="V106" i="1"/>
  <c r="R112" i="1"/>
  <c r="R111" i="1" s="1"/>
  <c r="N111" i="1"/>
  <c r="R120" i="1"/>
  <c r="R119" i="1" s="1"/>
  <c r="O119" i="1"/>
  <c r="V123" i="1"/>
  <c r="M17" i="1"/>
  <c r="N17" i="1"/>
  <c r="R34" i="1"/>
  <c r="V36" i="1"/>
  <c r="N39" i="1"/>
  <c r="X41" i="1"/>
  <c r="T46" i="1"/>
  <c r="X46" i="1"/>
  <c r="T47" i="1"/>
  <c r="X47" i="1"/>
  <c r="X53" i="1"/>
  <c r="T56" i="1"/>
  <c r="T60" i="1"/>
  <c r="V63" i="1"/>
  <c r="N74" i="1"/>
  <c r="L72" i="1"/>
  <c r="L117" i="1" s="1"/>
  <c r="L342" i="1" s="1"/>
  <c r="X80" i="1"/>
  <c r="W79" i="1"/>
  <c r="X79" i="1" s="1"/>
  <c r="V83" i="1"/>
  <c r="T89" i="1"/>
  <c r="S92" i="1"/>
  <c r="T92" i="1" s="1"/>
  <c r="T93" i="1"/>
  <c r="S99" i="1"/>
  <c r="T99" i="1" s="1"/>
  <c r="T100" i="1"/>
  <c r="X108" i="1"/>
  <c r="V111" i="1"/>
  <c r="V112" i="1"/>
  <c r="T121" i="1"/>
  <c r="S119" i="1"/>
  <c r="T123" i="1"/>
  <c r="N128" i="1"/>
  <c r="M125" i="1"/>
  <c r="T131" i="1"/>
  <c r="V132" i="1"/>
  <c r="X137" i="1"/>
  <c r="X139" i="1"/>
  <c r="T148" i="1"/>
  <c r="X148" i="1"/>
  <c r="T151" i="1"/>
  <c r="V161" i="1"/>
  <c r="X189" i="1"/>
  <c r="T189" i="1"/>
  <c r="X203" i="1"/>
  <c r="T203" i="1"/>
  <c r="N205" i="1"/>
  <c r="R206" i="1"/>
  <c r="T206" i="1" s="1"/>
  <c r="X235" i="1"/>
  <c r="T235" i="1"/>
  <c r="R237" i="1"/>
  <c r="V237" i="1" s="1"/>
  <c r="X238" i="1"/>
  <c r="T238" i="1"/>
  <c r="V238" i="1"/>
  <c r="M13" i="1"/>
  <c r="M117" i="1" s="1"/>
  <c r="Q117" i="1"/>
  <c r="R18" i="1"/>
  <c r="R17" i="1" s="1"/>
  <c r="N30" i="1"/>
  <c r="S33" i="1"/>
  <c r="S117" i="1" s="1"/>
  <c r="W33" i="1"/>
  <c r="T35" i="1"/>
  <c r="W38" i="1"/>
  <c r="T41" i="1"/>
  <c r="T42" i="1"/>
  <c r="N45" i="1"/>
  <c r="X51" i="1"/>
  <c r="V56" i="1"/>
  <c r="V58" i="1"/>
  <c r="U62" i="1"/>
  <c r="W62" i="1"/>
  <c r="N68" i="1"/>
  <c r="X82" i="1"/>
  <c r="X83" i="1"/>
  <c r="V93" i="1"/>
  <c r="U92" i="1"/>
  <c r="V92" i="1" s="1"/>
  <c r="T97" i="1"/>
  <c r="V100" i="1"/>
  <c r="U99" i="1"/>
  <c r="V99" i="1" s="1"/>
  <c r="M102" i="1"/>
  <c r="R103" i="1"/>
  <c r="T106" i="1"/>
  <c r="S105" i="1"/>
  <c r="T105" i="1" s="1"/>
  <c r="R109" i="1"/>
  <c r="R108" i="1" s="1"/>
  <c r="N108" i="1"/>
  <c r="X111" i="1"/>
  <c r="X112" i="1"/>
  <c r="V121" i="1"/>
  <c r="U119" i="1"/>
  <c r="T130" i="1"/>
  <c r="W125" i="1"/>
  <c r="X132" i="1"/>
  <c r="W134" i="1"/>
  <c r="R140" i="1"/>
  <c r="V140" i="1" s="1"/>
  <c r="R143" i="1"/>
  <c r="X144" i="1"/>
  <c r="T144" i="1"/>
  <c r="M146" i="1"/>
  <c r="R147" i="1"/>
  <c r="V148" i="1"/>
  <c r="X161" i="1"/>
  <c r="R164" i="1"/>
  <c r="X164" i="1" s="1"/>
  <c r="N163" i="1"/>
  <c r="V168" i="1"/>
  <c r="U163" i="1"/>
  <c r="S171" i="1"/>
  <c r="X174" i="1"/>
  <c r="T174" i="1"/>
  <c r="V180" i="1"/>
  <c r="X184" i="1"/>
  <c r="T184" i="1"/>
  <c r="N188" i="1"/>
  <c r="R190" i="1"/>
  <c r="X202" i="1"/>
  <c r="V202" i="1"/>
  <c r="V235" i="1"/>
  <c r="V42" i="1"/>
  <c r="R83" i="1"/>
  <c r="R82" i="1" s="1"/>
  <c r="V82" i="1" s="1"/>
  <c r="N82" i="1"/>
  <c r="X121" i="1"/>
  <c r="W119" i="1"/>
  <c r="R135" i="1"/>
  <c r="T136" i="1"/>
  <c r="X136" i="1"/>
  <c r="R154" i="1"/>
  <c r="T154" i="1" s="1"/>
  <c r="O153" i="1"/>
  <c r="X180" i="1"/>
  <c r="W178" i="1"/>
  <c r="R199" i="1"/>
  <c r="N198" i="1"/>
  <c r="T202" i="1"/>
  <c r="S198" i="1"/>
  <c r="V208" i="1"/>
  <c r="X208" i="1"/>
  <c r="T208" i="1"/>
  <c r="K117" i="1"/>
  <c r="O117" i="1"/>
  <c r="N22" i="1"/>
  <c r="T36" i="1"/>
  <c r="U38" i="1"/>
  <c r="V41" i="1"/>
  <c r="N50" i="1"/>
  <c r="V51" i="1"/>
  <c r="V53" i="1"/>
  <c r="N55" i="1"/>
  <c r="W55" i="1"/>
  <c r="V57" i="1"/>
  <c r="T63" i="1"/>
  <c r="V80" i="1"/>
  <c r="T82" i="1"/>
  <c r="T83" i="1"/>
  <c r="R86" i="1"/>
  <c r="R85" i="1" s="1"/>
  <c r="X85" i="1" s="1"/>
  <c r="N85" i="1"/>
  <c r="R89" i="1"/>
  <c r="N90" i="1"/>
  <c r="R90" i="1" s="1"/>
  <c r="L88" i="1"/>
  <c r="L95" i="1"/>
  <c r="N96" i="1"/>
  <c r="N105" i="1"/>
  <c r="X106" i="1"/>
  <c r="W105" i="1"/>
  <c r="X105" i="1" s="1"/>
  <c r="V108" i="1"/>
  <c r="T111" i="1"/>
  <c r="T112" i="1"/>
  <c r="R115" i="1"/>
  <c r="R114" i="1" s="1"/>
  <c r="P340" i="1"/>
  <c r="P342" i="1" s="1"/>
  <c r="R126" i="1"/>
  <c r="O125" i="1"/>
  <c r="S125" i="1"/>
  <c r="T132" i="1"/>
  <c r="S134" i="1"/>
  <c r="V136" i="1"/>
  <c r="T137" i="1"/>
  <c r="N139" i="1"/>
  <c r="R139" i="1" s="1"/>
  <c r="T139" i="1" s="1"/>
  <c r="V139" i="1"/>
  <c r="R151" i="1"/>
  <c r="X151" i="1" s="1"/>
  <c r="N150" i="1"/>
  <c r="R160" i="1"/>
  <c r="R159" i="1" s="1"/>
  <c r="V159" i="1" s="1"/>
  <c r="O159" i="1"/>
  <c r="T159" i="1"/>
  <c r="X168" i="1"/>
  <c r="T168" i="1"/>
  <c r="X169" i="1"/>
  <c r="N171" i="1"/>
  <c r="R172" i="1"/>
  <c r="V174" i="1"/>
  <c r="U171" i="1"/>
  <c r="X176" i="1"/>
  <c r="V176" i="1"/>
  <c r="R179" i="1"/>
  <c r="R178" i="1" s="1"/>
  <c r="V178" i="1" s="1"/>
  <c r="N182" i="1"/>
  <c r="R183" i="1"/>
  <c r="V189" i="1"/>
  <c r="V190" i="1"/>
  <c r="R194" i="1"/>
  <c r="N192" i="1"/>
  <c r="V203" i="1"/>
  <c r="V209" i="1"/>
  <c r="X209" i="1"/>
  <c r="R212" i="1"/>
  <c r="T212" i="1" s="1"/>
  <c r="X213" i="1"/>
  <c r="T213" i="1"/>
  <c r="V213" i="1"/>
  <c r="V212" i="1"/>
  <c r="X223" i="1"/>
  <c r="T223" i="1"/>
  <c r="V223" i="1"/>
  <c r="R221" i="1"/>
  <c r="V228" i="1"/>
  <c r="X247" i="1"/>
  <c r="S250" i="1"/>
  <c r="U279" i="1"/>
  <c r="L291" i="1"/>
  <c r="N292" i="1"/>
  <c r="W291" i="1"/>
  <c r="V321" i="1"/>
  <c r="N331" i="1"/>
  <c r="L329" i="1"/>
  <c r="W329" i="1"/>
  <c r="V335" i="1"/>
  <c r="M340" i="1"/>
  <c r="Q340" i="1"/>
  <c r="V164" i="1"/>
  <c r="R173" i="1"/>
  <c r="T180" i="1"/>
  <c r="L192" i="1"/>
  <c r="V200" i="1"/>
  <c r="R207" i="1"/>
  <c r="V210" i="1"/>
  <c r="T216" i="1"/>
  <c r="T219" i="1"/>
  <c r="X219" i="1"/>
  <c r="N221" i="1"/>
  <c r="N237" i="1"/>
  <c r="R239" i="1"/>
  <c r="T239" i="1" s="1"/>
  <c r="S241" i="1"/>
  <c r="U247" i="1"/>
  <c r="V247" i="1" s="1"/>
  <c r="V248" i="1"/>
  <c r="U253" i="1"/>
  <c r="W253" i="1"/>
  <c r="T255" i="1"/>
  <c r="R270" i="1"/>
  <c r="T270" i="1" s="1"/>
  <c r="N271" i="1"/>
  <c r="R271" i="1" s="1"/>
  <c r="L268" i="1"/>
  <c r="T289" i="1"/>
  <c r="X289" i="1"/>
  <c r="V289" i="1"/>
  <c r="L298" i="1"/>
  <c r="N299" i="1"/>
  <c r="S310" i="1"/>
  <c r="R312" i="1"/>
  <c r="N310" i="1"/>
  <c r="R315" i="1"/>
  <c r="S205" i="1"/>
  <c r="X210" i="1"/>
  <c r="W205" i="1"/>
  <c r="N215" i="1"/>
  <c r="R215" i="1" s="1"/>
  <c r="L212" i="1"/>
  <c r="L340" i="1" s="1"/>
  <c r="V216" i="1"/>
  <c r="X222" i="1"/>
  <c r="T222" i="1"/>
  <c r="R227" i="1"/>
  <c r="T228" i="1"/>
  <c r="L233" i="1"/>
  <c r="S233" i="1"/>
  <c r="X239" i="1"/>
  <c r="L244" i="1"/>
  <c r="N245" i="1"/>
  <c r="V257" i="1"/>
  <c r="V258" i="1"/>
  <c r="N276" i="1"/>
  <c r="L274" i="1"/>
  <c r="N281" i="1"/>
  <c r="X282" i="1"/>
  <c r="S291" i="1"/>
  <c r="R295" i="1"/>
  <c r="N294" i="1"/>
  <c r="X300" i="1"/>
  <c r="T300" i="1"/>
  <c r="V300" i="1"/>
  <c r="R318" i="1"/>
  <c r="V318" i="1" s="1"/>
  <c r="V320" i="1"/>
  <c r="N318" i="1"/>
  <c r="T321" i="1"/>
  <c r="S329" i="1"/>
  <c r="T335" i="1"/>
  <c r="K340" i="1"/>
  <c r="X154" i="1"/>
  <c r="R157" i="1"/>
  <c r="N156" i="1"/>
  <c r="T161" i="1"/>
  <c r="N166" i="1"/>
  <c r="R166" i="1" s="1"/>
  <c r="V166" i="1" s="1"/>
  <c r="L171" i="1"/>
  <c r="T178" i="1"/>
  <c r="N186" i="1"/>
  <c r="R186" i="1" s="1"/>
  <c r="N212" i="1"/>
  <c r="X216" i="1"/>
  <c r="V219" i="1"/>
  <c r="L221" i="1"/>
  <c r="V222" i="1"/>
  <c r="R234" i="1"/>
  <c r="N233" i="1"/>
  <c r="N251" i="1"/>
  <c r="M250" i="1"/>
  <c r="U268" i="1"/>
  <c r="X272" i="1"/>
  <c r="T272" i="1"/>
  <c r="V272" i="1"/>
  <c r="X277" i="1"/>
  <c r="T277" i="1"/>
  <c r="V277" i="1"/>
  <c r="X308" i="1"/>
  <c r="T308" i="1"/>
  <c r="V308" i="1"/>
  <c r="X311" i="1"/>
  <c r="W310" i="1"/>
  <c r="S237" i="1"/>
  <c r="W237" i="1"/>
  <c r="X237" i="1" s="1"/>
  <c r="N242" i="1"/>
  <c r="N254" i="1"/>
  <c r="S253" i="1"/>
  <c r="T257" i="1"/>
  <c r="T258" i="1"/>
  <c r="R261" i="1"/>
  <c r="N260" i="1"/>
  <c r="T264" i="1"/>
  <c r="X264" i="1"/>
  <c r="T265" i="1"/>
  <c r="X265" i="1"/>
  <c r="T266" i="1"/>
  <c r="X266" i="1"/>
  <c r="R269" i="1"/>
  <c r="O268" i="1"/>
  <c r="R275" i="1"/>
  <c r="O274" i="1"/>
  <c r="W279" i="1"/>
  <c r="V282" i="1"/>
  <c r="R285" i="1"/>
  <c r="T286" i="1"/>
  <c r="X296" i="1"/>
  <c r="T302" i="1"/>
  <c r="X302" i="1"/>
  <c r="T303" i="1"/>
  <c r="X303" i="1"/>
  <c r="N305" i="1"/>
  <c r="R305" i="1"/>
  <c r="T306" i="1"/>
  <c r="X306" i="1"/>
  <c r="T307" i="1"/>
  <c r="X307" i="1"/>
  <c r="V311" i="1"/>
  <c r="X318" i="1"/>
  <c r="T322" i="1"/>
  <c r="S318" i="1"/>
  <c r="T318" i="1" s="1"/>
  <c r="X327" i="1"/>
  <c r="T327" i="1"/>
  <c r="V327" i="1"/>
  <c r="V337" i="1"/>
  <c r="T248" i="1"/>
  <c r="X257" i="1"/>
  <c r="X258" i="1"/>
  <c r="W268" i="1"/>
  <c r="R280" i="1"/>
  <c r="O279" i="1"/>
  <c r="S279" i="1"/>
  <c r="T296" i="1"/>
  <c r="V312" i="1"/>
  <c r="T315" i="1"/>
  <c r="L314" i="1"/>
  <c r="N316" i="1"/>
  <c r="R316" i="1" s="1"/>
  <c r="T316" i="1" s="1"/>
  <c r="V319" i="1"/>
  <c r="T319" i="1"/>
  <c r="N324" i="1"/>
  <c r="T326" i="1"/>
  <c r="X326" i="1"/>
  <c r="X333" i="1"/>
  <c r="T339" i="1"/>
  <c r="X339" i="1"/>
  <c r="T311" i="1"/>
  <c r="X322" i="1"/>
  <c r="T325" i="1"/>
  <c r="X325" i="1"/>
  <c r="R324" i="1"/>
  <c r="X324" i="1" s="1"/>
  <c r="U329" i="1"/>
  <c r="T333" i="1"/>
  <c r="X268" i="1" l="1"/>
  <c r="V305" i="1"/>
  <c r="T305" i="1"/>
  <c r="N253" i="1"/>
  <c r="R254" i="1"/>
  <c r="R233" i="1"/>
  <c r="V234" i="1"/>
  <c r="R156" i="1"/>
  <c r="X157" i="1"/>
  <c r="V227" i="1"/>
  <c r="R226" i="1"/>
  <c r="X227" i="1"/>
  <c r="T227" i="1"/>
  <c r="R314" i="1"/>
  <c r="V315" i="1"/>
  <c r="V221" i="1"/>
  <c r="X221" i="1"/>
  <c r="O342" i="1"/>
  <c r="V199" i="1"/>
  <c r="R198" i="1"/>
  <c r="T199" i="1"/>
  <c r="X199" i="1"/>
  <c r="X190" i="1"/>
  <c r="T190" i="1"/>
  <c r="T157" i="1"/>
  <c r="R102" i="1"/>
  <c r="X103" i="1"/>
  <c r="T103" i="1"/>
  <c r="V103" i="1"/>
  <c r="R30" i="1"/>
  <c r="N29" i="1"/>
  <c r="V316" i="1"/>
  <c r="X234" i="1"/>
  <c r="R284" i="1"/>
  <c r="X285" i="1"/>
  <c r="T285" i="1"/>
  <c r="V285" i="1"/>
  <c r="R242" i="1"/>
  <c r="N241" i="1"/>
  <c r="X305" i="1"/>
  <c r="N250" i="1"/>
  <c r="R251" i="1"/>
  <c r="R281" i="1"/>
  <c r="N279" i="1"/>
  <c r="X212" i="1"/>
  <c r="R310" i="1"/>
  <c r="V310" i="1" s="1"/>
  <c r="X312" i="1"/>
  <c r="R192" i="1"/>
  <c r="X194" i="1"/>
  <c r="T194" i="1"/>
  <c r="R88" i="1"/>
  <c r="V135" i="1"/>
  <c r="R134" i="1"/>
  <c r="V134" i="1" s="1"/>
  <c r="T135" i="1"/>
  <c r="X135" i="1"/>
  <c r="R274" i="1"/>
  <c r="N298" i="1"/>
  <c r="R299" i="1"/>
  <c r="V171" i="1"/>
  <c r="T90" i="1"/>
  <c r="V90" i="1"/>
  <c r="X90" i="1"/>
  <c r="V85" i="1"/>
  <c r="N125" i="1"/>
  <c r="R128" i="1"/>
  <c r="R279" i="1"/>
  <c r="T279" i="1" s="1"/>
  <c r="V268" i="1"/>
  <c r="R292" i="1"/>
  <c r="N291" i="1"/>
  <c r="R171" i="1"/>
  <c r="X171" i="1" s="1"/>
  <c r="V172" i="1"/>
  <c r="T172" i="1"/>
  <c r="X172" i="1"/>
  <c r="V126" i="1"/>
  <c r="R125" i="1"/>
  <c r="V125" i="1" s="1"/>
  <c r="X126" i="1"/>
  <c r="T126" i="1"/>
  <c r="N21" i="1"/>
  <c r="N117" i="1" s="1"/>
  <c r="R22" i="1"/>
  <c r="R21" i="1" s="1"/>
  <c r="V157" i="1"/>
  <c r="X166" i="1"/>
  <c r="U340" i="1"/>
  <c r="V119" i="1"/>
  <c r="X33" i="1"/>
  <c r="W117" i="1"/>
  <c r="S340" i="1"/>
  <c r="T119" i="1"/>
  <c r="T86" i="1"/>
  <c r="V55" i="1"/>
  <c r="T26" i="1"/>
  <c r="R25" i="1"/>
  <c r="X26" i="1"/>
  <c r="V26" i="1"/>
  <c r="V324" i="1"/>
  <c r="T324" i="1"/>
  <c r="X270" i="1"/>
  <c r="R268" i="1"/>
  <c r="T268" i="1" s="1"/>
  <c r="V261" i="1"/>
  <c r="R260" i="1"/>
  <c r="X261" i="1"/>
  <c r="T261" i="1"/>
  <c r="V239" i="1"/>
  <c r="T312" i="1"/>
  <c r="V270" i="1"/>
  <c r="V194" i="1"/>
  <c r="X316" i="1"/>
  <c r="N244" i="1"/>
  <c r="R245" i="1"/>
  <c r="N314" i="1"/>
  <c r="T310" i="1"/>
  <c r="N268" i="1"/>
  <c r="R331" i="1"/>
  <c r="N329" i="1"/>
  <c r="R182" i="1"/>
  <c r="V183" i="1"/>
  <c r="T183" i="1"/>
  <c r="X183" i="1"/>
  <c r="T166" i="1"/>
  <c r="T140" i="1"/>
  <c r="T125" i="1"/>
  <c r="V109" i="1"/>
  <c r="X55" i="1"/>
  <c r="N49" i="1"/>
  <c r="R50" i="1"/>
  <c r="X178" i="1"/>
  <c r="W340" i="1"/>
  <c r="X119" i="1"/>
  <c r="T109" i="1"/>
  <c r="T171" i="1"/>
  <c r="X159" i="1"/>
  <c r="X140" i="1"/>
  <c r="X125" i="1"/>
  <c r="V86" i="1"/>
  <c r="Q342" i="1"/>
  <c r="T221" i="1"/>
  <c r="T85" i="1"/>
  <c r="O340" i="1"/>
  <c r="X89" i="1"/>
  <c r="X68" i="1"/>
  <c r="T68" i="1"/>
  <c r="X310" i="1"/>
  <c r="T234" i="1"/>
  <c r="X147" i="1"/>
  <c r="R146" i="1"/>
  <c r="T147" i="1"/>
  <c r="V147" i="1"/>
  <c r="X62" i="1"/>
  <c r="M342" i="1"/>
  <c r="V206" i="1"/>
  <c r="R205" i="1"/>
  <c r="V205" i="1" s="1"/>
  <c r="X206" i="1"/>
  <c r="R188" i="1"/>
  <c r="X34" i="1"/>
  <c r="V34" i="1"/>
  <c r="R33" i="1"/>
  <c r="V33" i="1" s="1"/>
  <c r="T34" i="1"/>
  <c r="X315" i="1"/>
  <c r="T237" i="1"/>
  <c r="V295" i="1"/>
  <c r="R294" i="1"/>
  <c r="T295" i="1"/>
  <c r="X295" i="1"/>
  <c r="R276" i="1"/>
  <c r="N274" i="1"/>
  <c r="T233" i="1"/>
  <c r="V215" i="1"/>
  <c r="X215" i="1"/>
  <c r="T215" i="1"/>
  <c r="T205" i="1"/>
  <c r="R150" i="1"/>
  <c r="V151" i="1"/>
  <c r="N95" i="1"/>
  <c r="R96" i="1"/>
  <c r="N88" i="1"/>
  <c r="K342" i="1"/>
  <c r="T198" i="1"/>
  <c r="R153" i="1"/>
  <c r="V154" i="1"/>
  <c r="N134" i="1"/>
  <c r="X86" i="1"/>
  <c r="R163" i="1"/>
  <c r="T164" i="1"/>
  <c r="R142" i="1"/>
  <c r="X143" i="1"/>
  <c r="T143" i="1"/>
  <c r="V143" i="1"/>
  <c r="V89" i="1"/>
  <c r="V62" i="1"/>
  <c r="N44" i="1"/>
  <c r="R45" i="1"/>
  <c r="T33" i="1"/>
  <c r="X109" i="1"/>
  <c r="R74" i="1"/>
  <c r="N72" i="1"/>
  <c r="R39" i="1"/>
  <c r="N38" i="1"/>
  <c r="U117" i="1"/>
  <c r="R62" i="1"/>
  <c r="T62" i="1" s="1"/>
  <c r="X63" i="1"/>
  <c r="U342" i="1" l="1"/>
  <c r="N340" i="1"/>
  <c r="N342" i="1" s="1"/>
  <c r="R38" i="1"/>
  <c r="T39" i="1"/>
  <c r="X39" i="1"/>
  <c r="V39" i="1"/>
  <c r="V276" i="1"/>
  <c r="X276" i="1"/>
  <c r="T276" i="1"/>
  <c r="R49" i="1"/>
  <c r="V50" i="1"/>
  <c r="X50" i="1"/>
  <c r="T50" i="1"/>
  <c r="X331" i="1"/>
  <c r="R329" i="1"/>
  <c r="T331" i="1"/>
  <c r="V331" i="1"/>
  <c r="V25" i="1"/>
  <c r="X25" i="1"/>
  <c r="T25" i="1"/>
  <c r="R298" i="1"/>
  <c r="V299" i="1"/>
  <c r="X299" i="1"/>
  <c r="T299" i="1"/>
  <c r="T88" i="1"/>
  <c r="X88" i="1"/>
  <c r="V88" i="1"/>
  <c r="X281" i="1"/>
  <c r="T281" i="1"/>
  <c r="V281" i="1"/>
  <c r="V284" i="1"/>
  <c r="X284" i="1"/>
  <c r="T284" i="1"/>
  <c r="T30" i="1"/>
  <c r="R29" i="1"/>
  <c r="X30" i="1"/>
  <c r="V30" i="1"/>
  <c r="R253" i="1"/>
  <c r="X254" i="1"/>
  <c r="T254" i="1"/>
  <c r="V254" i="1"/>
  <c r="R44" i="1"/>
  <c r="V45" i="1"/>
  <c r="X45" i="1"/>
  <c r="T45" i="1"/>
  <c r="X134" i="1"/>
  <c r="X142" i="1"/>
  <c r="T142" i="1"/>
  <c r="V142" i="1"/>
  <c r="R95" i="1"/>
  <c r="X96" i="1"/>
  <c r="V96" i="1"/>
  <c r="T96" i="1"/>
  <c r="T150" i="1"/>
  <c r="X150" i="1"/>
  <c r="V150" i="1"/>
  <c r="V188" i="1"/>
  <c r="X188" i="1"/>
  <c r="T188" i="1"/>
  <c r="T146" i="1"/>
  <c r="V146" i="1"/>
  <c r="X146" i="1"/>
  <c r="X205" i="1"/>
  <c r="X128" i="1"/>
  <c r="T128" i="1"/>
  <c r="V128" i="1"/>
  <c r="X156" i="1"/>
  <c r="T156" i="1"/>
  <c r="V156" i="1"/>
  <c r="V74" i="1"/>
  <c r="T74" i="1"/>
  <c r="X74" i="1"/>
  <c r="R72" i="1"/>
  <c r="T182" i="1"/>
  <c r="X182" i="1"/>
  <c r="V182" i="1"/>
  <c r="R244" i="1"/>
  <c r="V245" i="1"/>
  <c r="X245" i="1"/>
  <c r="T245" i="1"/>
  <c r="X274" i="1"/>
  <c r="T274" i="1"/>
  <c r="V274" i="1"/>
  <c r="T102" i="1"/>
  <c r="V102" i="1"/>
  <c r="X102" i="1"/>
  <c r="X198" i="1"/>
  <c r="V198" i="1"/>
  <c r="T226" i="1"/>
  <c r="X226" i="1"/>
  <c r="V226" i="1"/>
  <c r="T163" i="1"/>
  <c r="X163" i="1"/>
  <c r="X153" i="1"/>
  <c r="T153" i="1"/>
  <c r="V153" i="1"/>
  <c r="T134" i="1"/>
  <c r="V279" i="1"/>
  <c r="T294" i="1"/>
  <c r="X294" i="1"/>
  <c r="V294" i="1"/>
  <c r="V163" i="1"/>
  <c r="V260" i="1"/>
  <c r="X260" i="1"/>
  <c r="T260" i="1"/>
  <c r="W342" i="1"/>
  <c r="R291" i="1"/>
  <c r="X292" i="1"/>
  <c r="T292" i="1"/>
  <c r="V292" i="1"/>
  <c r="X279" i="1"/>
  <c r="T192" i="1"/>
  <c r="X192" i="1"/>
  <c r="V192" i="1"/>
  <c r="R250" i="1"/>
  <c r="V251" i="1"/>
  <c r="X251" i="1"/>
  <c r="T251" i="1"/>
  <c r="X242" i="1"/>
  <c r="R241" i="1"/>
  <c r="V242" i="1"/>
  <c r="T242" i="1"/>
  <c r="V314" i="1"/>
  <c r="T314" i="1"/>
  <c r="X314" i="1"/>
  <c r="V233" i="1"/>
  <c r="X233" i="1"/>
  <c r="S342" i="1"/>
  <c r="T95" i="1" l="1"/>
  <c r="V95" i="1"/>
  <c r="X95" i="1"/>
  <c r="V44" i="1"/>
  <c r="X44" i="1"/>
  <c r="T44" i="1"/>
  <c r="V29" i="1"/>
  <c r="T29" i="1"/>
  <c r="X29" i="1"/>
  <c r="V241" i="1"/>
  <c r="X241" i="1"/>
  <c r="R340" i="1"/>
  <c r="T241" i="1"/>
  <c r="V72" i="1"/>
  <c r="X72" i="1"/>
  <c r="T72" i="1"/>
  <c r="T298" i="1"/>
  <c r="X298" i="1"/>
  <c r="V298" i="1"/>
  <c r="X329" i="1"/>
  <c r="V329" i="1"/>
  <c r="T329" i="1"/>
  <c r="V250" i="1"/>
  <c r="X250" i="1"/>
  <c r="T250" i="1"/>
  <c r="V291" i="1"/>
  <c r="T291" i="1"/>
  <c r="X291" i="1"/>
  <c r="V244" i="1"/>
  <c r="T244" i="1"/>
  <c r="X244" i="1"/>
  <c r="V49" i="1"/>
  <c r="T49" i="1"/>
  <c r="X49" i="1"/>
  <c r="R117" i="1"/>
  <c r="V253" i="1"/>
  <c r="T253" i="1"/>
  <c r="X253" i="1"/>
  <c r="T38" i="1"/>
  <c r="X38" i="1"/>
  <c r="V38" i="1"/>
  <c r="R342" i="1" l="1"/>
  <c r="T117" i="1"/>
  <c r="V117" i="1"/>
  <c r="X117" i="1"/>
  <c r="T340" i="1"/>
  <c r="V340" i="1"/>
  <c r="X340" i="1"/>
  <c r="V342" i="1" l="1"/>
  <c r="X342" i="1"/>
  <c r="T342" i="1"/>
</calcChain>
</file>

<file path=xl/sharedStrings.xml><?xml version="1.0" encoding="utf-8"?>
<sst xmlns="http://schemas.openxmlformats.org/spreadsheetml/2006/main" count="1897" uniqueCount="303">
  <si>
    <t>PODER JUDICIÁRIO</t>
  </si>
  <si>
    <t>Orgão: 04 - Tribunal de Justiça do Estado do Pará</t>
  </si>
  <si>
    <t>Unidade Orçamentária: 04101 - Tribunal de Justiça do Estado</t>
  </si>
  <si>
    <t xml:space="preserve">                                          04102 - Fundo de Reaparelhamento do Poder Judiciário</t>
  </si>
  <si>
    <t>Data de Publicação: 19/11/2020</t>
  </si>
  <si>
    <t>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</si>
  <si>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</si>
  <si>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</si>
  <si>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</si>
  <si>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</si>
  <si>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</si>
  <si>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</si>
  <si>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</si>
  <si>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</si>
  <si>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</si>
  <si>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</si>
  <si>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</si>
  <si>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</si>
  <si>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</si>
  <si>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</si>
  <si>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</si>
  <si>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</si>
  <si>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</si>
  <si>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</si>
  <si>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</si>
  <si>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</si>
  <si>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</si>
  <si>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</si>
  <si>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</si>
  <si>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</si>
  <si>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</si>
  <si>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</si>
  <si>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</si>
  <si>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</si>
  <si>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</si>
  <si>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</si>
  <si>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</si>
  <si>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</si>
  <si>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</si>
  <si>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</si>
  <si>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</si>
  <si>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</si>
  <si>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</si>
  <si>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</si>
  <si>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</si>
  <si>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</si>
  <si>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040101</t>
  </si>
  <si>
    <t xml:space="preserve">Tribunal de Justiça do Estado </t>
  </si>
  <si>
    <t>1417 / 7649</t>
  </si>
  <si>
    <t xml:space="preserve">Atuação Jurisdicional </t>
  </si>
  <si>
    <t>Ampliação do Quadro Funcional de Servidores - 1º Grau</t>
  </si>
  <si>
    <t>02 / 061</t>
  </si>
  <si>
    <t>0101</t>
  </si>
  <si>
    <t>Recursos Ordinários</t>
  </si>
  <si>
    <t>1417 / 7650</t>
  </si>
  <si>
    <t>Ampliação do Quadro Funcional de Magistrados - 1º Grau</t>
  </si>
  <si>
    <t>1417 / 8158</t>
  </si>
  <si>
    <t>Ampliação do Quadro Funcional - 2º Grau</t>
  </si>
  <si>
    <t>1417 / 8176</t>
  </si>
  <si>
    <t>Implementação do Programa de Segurança e Acesso aos Prédio do Poder Judiciário - 1º Grau</t>
  </si>
  <si>
    <t>Implem. do Programa de Seg. e Acesso aos Prédio do Poder Judiciário - 1º Grau</t>
  </si>
  <si>
    <t>0301</t>
  </si>
  <si>
    <t>Recursos Ordinários - Superávit Financeiro</t>
  </si>
  <si>
    <t>1417 / 8178</t>
  </si>
  <si>
    <t>Implementação do Programa de Segurança e Acesso aos Prédio do Poder Judiciário - Apoio Indireto à Atividade Judicante</t>
  </si>
  <si>
    <t>Implem. do Programa de Seg. e Acesso aos Prédio do Poder Judiciário - Apoio</t>
  </si>
  <si>
    <t>1417 / 8726</t>
  </si>
  <si>
    <t>Implementação do Registro Civil pelos Ofícios de Cidadania</t>
  </si>
  <si>
    <t>0128</t>
  </si>
  <si>
    <t>Rec. Próp. do Fundo de Apoio ao Reg. Civil do Estado Pará</t>
  </si>
  <si>
    <t>0328</t>
  </si>
  <si>
    <t>Rec. Próp. Fundo Apoio Reg. Civil Estado - Sup. Financ.</t>
  </si>
  <si>
    <t>1421 / 6853</t>
  </si>
  <si>
    <t>Manutenção da Gestão do Poder Judiciário</t>
  </si>
  <si>
    <t>Administração de Recursos Humanos dos Servidores do Poder Judiciário - 1º Grau</t>
  </si>
  <si>
    <t>02 / 122</t>
  </si>
  <si>
    <t>0112</t>
  </si>
  <si>
    <t>Receita Patrimonial - Outros Poderes</t>
  </si>
  <si>
    <t>1421 / 6854</t>
  </si>
  <si>
    <t>Administração de Recursos Humanos dos Servidores do Poder Judiciário - 2º Grau</t>
  </si>
  <si>
    <t>1421 / 6855</t>
  </si>
  <si>
    <t>Administração de Recursos Humanos dos Servidores do Poder Judiciário - Apoio Indireto à Atividade Judicante</t>
  </si>
  <si>
    <t>Administração de Recursos Humanos dos Servidores do Poder Judiciário. - Apoio</t>
  </si>
  <si>
    <t>1421 / 8189</t>
  </si>
  <si>
    <t>Administração de Recursos Humanos da Magistratura – 1º Grau</t>
  </si>
  <si>
    <t>1421 / 8190</t>
  </si>
  <si>
    <t>Administração de Recursos Humanos da Magistratura - 2º Grau</t>
  </si>
  <si>
    <t>1421 / 8191</t>
  </si>
  <si>
    <t>Administração de Recursos Humanos dos Magistrados e Servidores do Poder Judiciário - Justiça Militar</t>
  </si>
  <si>
    <t>Administ. de Rec. Humanos dos Magist. e Servid. do Poder Judic.-Justiça Militar</t>
  </si>
  <si>
    <t>1421 / 8195</t>
  </si>
  <si>
    <t>Operacionalização das Ações Administrativas do Poder judiciário  Apoio Indireto à Atividade Judicante</t>
  </si>
  <si>
    <t xml:space="preserve">Operacionalização das Ações Administrativas do Poder Judiciário  Apoio </t>
  </si>
  <si>
    <t>1421 / 8598</t>
  </si>
  <si>
    <t>Pagamento de Obrigações Patronais dos Servidores Inativos e Pensionistas do Poder Judiciário Estadual</t>
  </si>
  <si>
    <t xml:space="preserve">Pag. de Obrig. Patronais dos Serv. Inativos e Pensionistas do Poder Judiciário Estadual </t>
  </si>
  <si>
    <t>1421 / 8719</t>
  </si>
  <si>
    <t>Pagamento de Obrigações Patronais dos Magistrados Inativos e Pensionistas do Poder Judiciário Estadual</t>
  </si>
  <si>
    <t xml:space="preserve">Pag. de Obrig. Patronais dos Mag. Inativos e Pensionistas do Poder Judiciário Estadual </t>
  </si>
  <si>
    <t>1421 / 6844</t>
  </si>
  <si>
    <t>Contribuição do Poder Judiciário ao Plano de Assistência à Saúde - 1º Grau</t>
  </si>
  <si>
    <t>02 / 302</t>
  </si>
  <si>
    <t>Contribuição do Poder Judic. ao Plano de Assistência à Saúde - 1º Grau</t>
  </si>
  <si>
    <t>1421 / 6846</t>
  </si>
  <si>
    <t>Contribuição do Poder Judiciário ao Plano de Assistência à Saúde – Apoio Indireto à Atividade Judicante</t>
  </si>
  <si>
    <t>Contribuição do Poder Judic. ao Plano de Assistência à Saúde – Apoio</t>
  </si>
  <si>
    <t>1421 / 6847</t>
  </si>
  <si>
    <t>Concessão de Auxílio Alimentação aos Servidores - 1º Grau</t>
  </si>
  <si>
    <t>02 / 331</t>
  </si>
  <si>
    <t>1421 / 6848</t>
  </si>
  <si>
    <t>Concessão de Auxílio Alimentação aos Servidores - 2º Grau</t>
  </si>
  <si>
    <t>1421 / 6849</t>
  </si>
  <si>
    <t>Concessão de Auxílio Alimentação - Apoio Indireto à Atividade Judicante</t>
  </si>
  <si>
    <t>1421 / 6850</t>
  </si>
  <si>
    <t>Concessão de Auxílio Transporte - 1º Grau</t>
  </si>
  <si>
    <t>1421 / 6851</t>
  </si>
  <si>
    <t>Concessão de Auxílio Transporte - 2º Grau</t>
  </si>
  <si>
    <t>1421 / 6852</t>
  </si>
  <si>
    <t>Concessão de Auxílio Transporte - Apoio Indireto à Atividade Judicante</t>
  </si>
  <si>
    <t>1421 / 8717</t>
  </si>
  <si>
    <t>Concessão de Auxílio Alimentação aos Magistrados - 1º Grau</t>
  </si>
  <si>
    <t>1421 / 8718</t>
  </si>
  <si>
    <t>Concessão de Auxílio Alimentação aos Magistrados - 2º Grau</t>
  </si>
  <si>
    <t>1421 / 8806</t>
  </si>
  <si>
    <t>Cidadania, Justica e Direitos Humanos</t>
  </si>
  <si>
    <t xml:space="preserve">Operacionalização do Fundo de Apoio ao Registro Civil
de Nascimento
</t>
  </si>
  <si>
    <t>08 / 422</t>
  </si>
  <si>
    <t>1500 / 8806</t>
  </si>
  <si>
    <t>Operacionalização do Fundo de Apoio ao Registro Civil de Nascimento</t>
  </si>
  <si>
    <t>Total - Unidade Orçamentária 040101 - Tribunal de Justiça do Estado</t>
  </si>
  <si>
    <t>040102</t>
  </si>
  <si>
    <t xml:space="preserve">Fundo de Reaparelhamento do Poder Judiciário </t>
  </si>
  <si>
    <t>1417 / 7638</t>
  </si>
  <si>
    <t>Implantação do Processo Judicial Eletrônico</t>
  </si>
  <si>
    <t>0118</t>
  </si>
  <si>
    <t>Rec. Próp. Fundo Reaparelhamento do  Judiciário - FRJ</t>
  </si>
  <si>
    <t>0306</t>
  </si>
  <si>
    <t>Rec. Proven. Transf. - Convênios e Outros - Superávit Financeiro</t>
  </si>
  <si>
    <t>Fundo de Reaparelhamento do Poder Judiciário</t>
  </si>
  <si>
    <t>1417 / 7639</t>
  </si>
  <si>
    <t>Ampliação da Infraestrutura Física do Poder Judiciário - 1º Grau</t>
  </si>
  <si>
    <t>0312</t>
  </si>
  <si>
    <t>Receita Patrimonial - Outros Poderes - Superávit Financeiro</t>
  </si>
  <si>
    <t>0318</t>
  </si>
  <si>
    <t>Rec. Próp. Fundo Reapar.  Judic. - FRJ - Superávit Financeiro</t>
  </si>
  <si>
    <t>1417 / 7640</t>
  </si>
  <si>
    <t>Ampliação da Infraestrutura Física do Poder Judiciário - 2º Grau</t>
  </si>
  <si>
    <t>1417 / 7641</t>
  </si>
  <si>
    <t>Ampliação da Infraestrutura Física do Poder Judiciário - Apoio Indireto à Atividade Judicante</t>
  </si>
  <si>
    <t xml:space="preserve">Ampliação da Infraestrutura Física do Poder Judiciário - Apoio </t>
  </si>
  <si>
    <t>1417 / 7651</t>
  </si>
  <si>
    <t>Modernização do Sistema de Precatórios</t>
  </si>
  <si>
    <t>1417 / 8626</t>
  </si>
  <si>
    <t>Operacionalização das Ações Voltadas à Criança e ao Adolescente</t>
  </si>
  <si>
    <t>1417 / 8628</t>
  </si>
  <si>
    <t>Implementação das Ações da Corregedoria das Comarcas da RMB e Interior</t>
  </si>
  <si>
    <t>Implementação das Ações da Corregedorias das Comarcas da RMB e Interior</t>
  </si>
  <si>
    <t>1417 / 8631</t>
  </si>
  <si>
    <t>Implementação das Ações da Justiça Criminal</t>
  </si>
  <si>
    <t>1417 / 8642</t>
  </si>
  <si>
    <t>Implementação de Ações da Área Socioambiental</t>
  </si>
  <si>
    <t>1417 / 8644</t>
  </si>
  <si>
    <t>Reforma e Manutenção de Prédios do Poder Judiciário - 1º Grau</t>
  </si>
  <si>
    <t>3</t>
  </si>
  <si>
    <t>4</t>
  </si>
  <si>
    <t>1417 / 8645</t>
  </si>
  <si>
    <t>Reforma e Manutenção de Prédios do Poder Judiciário - 2º Grau</t>
  </si>
  <si>
    <t>Rec. Próp Fundo Reaparelhamento do  Judiciário - FRJ</t>
  </si>
  <si>
    <t>1417 / 8646</t>
  </si>
  <si>
    <t>Reforma e Manutenção de Prédios do Poder Judiciário - Apoio Indireto  à Atividade Judicante</t>
  </si>
  <si>
    <t>Reforma e Manutenção de Prédios do Poder Judiciário - Apoio</t>
  </si>
  <si>
    <t>1417 / 8647</t>
  </si>
  <si>
    <t>Implem. do Programa de Segurança e Acesso aos Préd. do Poder Jud. - 1º Grau</t>
  </si>
  <si>
    <t>1419 / 8647</t>
  </si>
  <si>
    <t>Infraestrutura e Gestão de TIC</t>
  </si>
  <si>
    <t>1417 / 8648</t>
  </si>
  <si>
    <t>Implementação do Programa de Segurança e Acesso aos Prédio do Poder Judiciário - 2º Grau</t>
  </si>
  <si>
    <t>Implem. do Programa de Segurança e Acesso aos Préd. do Poder Jud. - 2º Grau</t>
  </si>
  <si>
    <t>Implem. do Programa de Segurança e Acesso aos Préd. do Poder Jud.. - 2º Grau</t>
  </si>
  <si>
    <t>1417 / 8649</t>
  </si>
  <si>
    <t xml:space="preserve">Implem. do Programa de Segurança e Acesso aos Préd. do Poder Jud. - Apoio </t>
  </si>
  <si>
    <t>1417 / 8654</t>
  </si>
  <si>
    <t>Aparelhamento das Unidades Judiciárias - 1º Grau</t>
  </si>
  <si>
    <t>0123</t>
  </si>
  <si>
    <t>Recursos Provenientes de Alienação de Bens</t>
  </si>
  <si>
    <t>0323</t>
  </si>
  <si>
    <t>Recursos Proven. de Alienação de Bens - Superávit Financeiro</t>
  </si>
  <si>
    <t>1417 / 8655</t>
  </si>
  <si>
    <t>Aparelhamento das Unidades Judiciárias - 2º Grau</t>
  </si>
  <si>
    <t>1417 / 8656</t>
  </si>
  <si>
    <t>Aparelhamento das Unidades Judiciárias - Apoio Indireto  à Atividade Judicante</t>
  </si>
  <si>
    <t>Aparelhamento das Unidades Judiciárias - Apoio Indireto  à Ativ. Judicante</t>
  </si>
  <si>
    <t>1417 / 8720</t>
  </si>
  <si>
    <t>Promoção de Ações para Resolução de Conflitos</t>
  </si>
  <si>
    <t>1417 / 8725</t>
  </si>
  <si>
    <t>Otimização da Gestão da Informação e Memória do Poder Judiciário</t>
  </si>
  <si>
    <t>1417 / 8727</t>
  </si>
  <si>
    <t>Promoção de Ações de Cidadania e Direitos</t>
  </si>
  <si>
    <t>1417 / 8722</t>
  </si>
  <si>
    <t>Promoção da Política de Saúde de Magistrados e Servidores</t>
  </si>
  <si>
    <t>1417 / 8723</t>
  </si>
  <si>
    <t xml:space="preserve">Fortalecimento da Gestão das Unidades Administrativas e Judiciais </t>
  </si>
  <si>
    <t>1421 / 8659</t>
  </si>
  <si>
    <t>Operacionalização das Ações Administrativas do Poder Judiciário - 1º Grau</t>
  </si>
  <si>
    <t>1421 / 8666</t>
  </si>
  <si>
    <t>1421 / 8667</t>
  </si>
  <si>
    <t>Administração de Recursos Humanos dos Servidores  do Poder Judiciário - 2º Grau</t>
  </si>
  <si>
    <t>1421 / 8668</t>
  </si>
  <si>
    <t>Administração de Recursos Humanos dos Servidores do Poder Judiciário - Apoio</t>
  </si>
  <si>
    <t>1421 / 8669</t>
  </si>
  <si>
    <t xml:space="preserve">Operacionalização das Ações Administrativas do Poder Judiciário - 2º Grau </t>
  </si>
  <si>
    <t>1421 / 8670</t>
  </si>
  <si>
    <t>Operacionalização das Ações Administrativas do Poder Judiciário - Apoio</t>
  </si>
  <si>
    <t>1421 / 8684</t>
  </si>
  <si>
    <t>Administ. de Rec. Humanos dos Magist. e Servid. do Poder Judic. - Justiça Militar</t>
  </si>
  <si>
    <t>1421 / 8685</t>
  </si>
  <si>
    <t>Operacionalização das Ações Administrativas da Justiça Militar</t>
  </si>
  <si>
    <t>1421 / 8716</t>
  </si>
  <si>
    <t>Operacionalização das Ações Administrativas da Escola Judicial - EJ</t>
  </si>
  <si>
    <t>1417 / 8651</t>
  </si>
  <si>
    <t>Atualização, Expansão e Manutenção da Infraestrura de Tecnologia do Poder Judiciário - 1º Grau</t>
  </si>
  <si>
    <t>02 / 126</t>
  </si>
  <si>
    <t xml:space="preserve">Atualiz., Exp. e Manut. da Infraest. de Tecnologia do Poder Judiário - 1º Grau </t>
  </si>
  <si>
    <t>1417 / 8652</t>
  </si>
  <si>
    <t>Atualização, Expansão e Manutenção da Infraestrura de Tecnologia do Poder Judiciário - 2º Grau</t>
  </si>
  <si>
    <t xml:space="preserve">Atualiz., Exp. e Manut. da Infraest. de Tecnologia do Poder Judiário - 2º Grau </t>
  </si>
  <si>
    <t>1417 / 8653</t>
  </si>
  <si>
    <t>Atualização, Expansão e Manutenção da Infraestrura de Tecnologia do Poder Judiciário - Apoio Indireto à Atividade Judicante</t>
  </si>
  <si>
    <t>Atualiz., Exp. e Manut. da Infraest. de Tecnologia do Poder Judiário - Apoio</t>
  </si>
  <si>
    <t>1417 / 8164</t>
  </si>
  <si>
    <t>Capacitação de Magistrados e Servidores - 1º Grau</t>
  </si>
  <si>
    <t>02 / 128</t>
  </si>
  <si>
    <t>1417 / 8165</t>
  </si>
  <si>
    <t>Capacitação de Magistrados e Servidores  - 2º Grau</t>
  </si>
  <si>
    <t>1417 / 8721</t>
  </si>
  <si>
    <t>Capacitação de Servidores - Apoio Indireto à Atividade Judicante</t>
  </si>
  <si>
    <t>1417 / 8724</t>
  </si>
  <si>
    <t>Participação em Eventos Institucionais</t>
  </si>
  <si>
    <t>0106</t>
  </si>
  <si>
    <t>Recursos Proven. de Transferências - Convênios e Outros</t>
  </si>
  <si>
    <t>1417 / 8639</t>
  </si>
  <si>
    <t>Fiscalização das Receitas do Fundo de Reaparelhamento do Judiciário - FRJ (FRJ)</t>
  </si>
  <si>
    <t>02 / 129</t>
  </si>
  <si>
    <t>Fiscalização das Receitas do Fundo de Reaparelhamento do Judiciário (FRJ)</t>
  </si>
  <si>
    <t>1417 / 8632</t>
  </si>
  <si>
    <t>Implementação das Ações de Comunicação e Publicidade</t>
  </si>
  <si>
    <t>02 / 131</t>
  </si>
  <si>
    <t>1421 / 8660</t>
  </si>
  <si>
    <t>Contrib. do Poder Judiciário ao Plano de Assistência à Saúde - 1º Grau</t>
  </si>
  <si>
    <t>1421 / 8661</t>
  </si>
  <si>
    <t>Contribuição do Poder Judiciário ao Plano de Assistência à Saúde - 2º Grau</t>
  </si>
  <si>
    <t>Contrib. do Poder Judiciário ao Plano de Assistência à Saúde - 2º Grau</t>
  </si>
  <si>
    <t>1421 / 8662</t>
  </si>
  <si>
    <t xml:space="preserve">Contribuição do Poder Judiciário ao Plano de Assistência à Saúde – Apoio Indireto à Atividade Judicante </t>
  </si>
  <si>
    <t>Contrib. do Poder Judiciário ao Plano de Assistência à Saúde – Apoio</t>
  </si>
  <si>
    <t>1421 / 8657</t>
  </si>
  <si>
    <t>Assistência  Médica e Odontológica</t>
  </si>
  <si>
    <t>1421 / 8663</t>
  </si>
  <si>
    <t>1421 / 8664</t>
  </si>
  <si>
    <t>1421 / 8665</t>
  </si>
  <si>
    <t>1421 / 8735</t>
  </si>
  <si>
    <t>Total - Unidade Orçamentária 040102 - Fundo de Reaparelhamento do Poder Judiciário</t>
  </si>
  <si>
    <t>Total Geral do Tribunal de Justiça</t>
  </si>
  <si>
    <t>Fonte: SIAFEM</t>
  </si>
  <si>
    <t>Legendas:</t>
  </si>
  <si>
    <t>Movimentação Líquida de Créditos: (-) Provisão Concedidas (coluna Provisão) e os Destaques Concedidos (coluna Destaque)</t>
  </si>
  <si>
    <t>Classificação Funcional: busca responder à indagação "em que" área de ação governamental a despesa será realizada (Anexo da Portaria nº 42, de 14 de abril de 1999, publicada no DOU, de 15 de abril de 1999</t>
  </si>
  <si>
    <t>Função:</t>
  </si>
  <si>
    <t>02 - Judiciária</t>
  </si>
  <si>
    <t>Subfunção:</t>
  </si>
  <si>
    <t xml:space="preserve">061 - Ação Judiciária </t>
  </si>
  <si>
    <t>128 - Formação de Recursos Humanos</t>
  </si>
  <si>
    <t>302 - Assistência Hospitalar e Ambulatorial</t>
  </si>
  <si>
    <t xml:space="preserve">08 - Assistência Social
</t>
  </si>
  <si>
    <t>122 - Administração Geral</t>
  </si>
  <si>
    <t xml:space="preserve">129 - Administração de Receitas </t>
  </si>
  <si>
    <t>331 - Proteção e Benefícios ao Trabalhador</t>
  </si>
  <si>
    <t>126 - Tecnologia da Informação</t>
  </si>
  <si>
    <t>131 - Comunicação Social</t>
  </si>
  <si>
    <t>422 - Direitos Individuais, Coletivos e Difusos</t>
  </si>
  <si>
    <t>Esfera Orçamentária: A esfera orçamentária tem por finalidade identificar se o orçamento é fiscal, da seguridade social ou de investimentos das empresas estatais, conforme disposto no § 5º do art. 165 da Constituição.</t>
  </si>
  <si>
    <t>1 - Orçamento fiscal</t>
  </si>
  <si>
    <t>2 - Orçamento da Seguridade Social</t>
  </si>
  <si>
    <t>GND - Grupo de Natureza da Despesa: É um agregador de elementos de despesas com as mesmas características quanto ao objeto do gasto</t>
  </si>
  <si>
    <t>1 - Pessoal e Encargos Sociais</t>
  </si>
  <si>
    <t>3 - Outras Despesas Correntes</t>
  </si>
  <si>
    <t>4 - Investimentos</t>
  </si>
  <si>
    <t>5 - Inversões Financeiras</t>
  </si>
  <si>
    <t>Fonte: Classificação da Receita por Fonte de Recursos: Entende-se por fonte de recursos a origem ou a procedência dos recursos que devem ser gastos com uma determinada finalidade.</t>
  </si>
  <si>
    <t>0101 - Recursos Ordinários</t>
  </si>
  <si>
    <t>0123 - Recursos Provenientes de Alienação de Bens</t>
  </si>
  <si>
    <t>0312 - Receita Patrimonial - Outros Poderes - Superávit Financeiro</t>
  </si>
  <si>
    <t>0106 - Recursos Provenientes da Transferência - Convênios e Outros</t>
  </si>
  <si>
    <t>0128 - Recursos Próprios do Fundo de Apoio ao Registro Civil do Estado</t>
  </si>
  <si>
    <t>0318 - Recursos Próprios Fundo Reaparelhamento do Judiciário - FRJ - Superávit Financeiro</t>
  </si>
  <si>
    <t>0112 - Receita Patrimonial - Outros Poderes</t>
  </si>
  <si>
    <t>0301 - Recursos Ordinários - Superávit Financeiro</t>
  </si>
  <si>
    <t>0323 - Recursos Provenientes de Alienação de Bens - Superávit Financeiro</t>
  </si>
  <si>
    <t>0118 - Recursos Próprios do Fundo de Reaparelhamento do Judiciário - FRJ</t>
  </si>
  <si>
    <t>0306 - Recursos Provenientes da Transferência - Convênios e Outros - Superávit Financeiro</t>
  </si>
  <si>
    <t>0328 - Recursos Próprios do Fundo de Apoio ao Registro Civil do Estado - Superávit Financeiro</t>
  </si>
  <si>
    <t>Obs: Nas colunas relativas à execução, não incluir as despesas referentes aos restos a pagar do ano anterior.</t>
  </si>
  <si>
    <t>Mês de Referência: Outubro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</si>
</sst>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_(* #,##0.00_);_(* \(#,##0.00\);_(* &quot;-&quot;??_);_(@_)"/>
    <numFmt numFmtId="166" formatCode="0.0%"/>
  </numFmts>
  <fonts count="12" x14ac:knownFonts="1"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0" fontId="4" fillId="0" borderId="0"/>
  </cellStyleXfs>
  <cellXfs count="22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64" fontId="2" fillId="0" borderId="0" xfId="0" applyNumberFormat="1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5" fontId="3" fillId="0" borderId="5" xfId="1" applyFont="1" applyFill="1" applyBorder="1" applyAlignment="1">
      <alignment horizontal="center" vertical="center"/>
    </xf>
    <xf numFmtId="165" fontId="3" fillId="0" borderId="2" xfId="1" applyFont="1" applyFill="1" applyBorder="1" applyAlignment="1">
      <alignment horizontal="center" vertical="center"/>
    </xf>
    <xf numFmtId="165" fontId="3" fillId="0" borderId="6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164" fontId="3" fillId="0" borderId="12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 wrapText="1"/>
    </xf>
    <xf numFmtId="166" fontId="3" fillId="0" borderId="13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7" xfId="1" applyNumberFormat="1" applyFont="1" applyFill="1" applyBorder="1" applyAlignment="1">
      <alignment horizontal="center" vertical="center" wrapText="1"/>
    </xf>
    <xf numFmtId="166" fontId="3" fillId="2" borderId="17" xfId="1" applyNumberFormat="1" applyFont="1" applyFill="1" applyBorder="1" applyAlignment="1">
      <alignment horizontal="center" vertical="center" wrapText="1"/>
    </xf>
    <xf numFmtId="165" fontId="3" fillId="2" borderId="17" xfId="1" applyFont="1" applyFill="1" applyBorder="1" applyAlignment="1">
      <alignment horizontal="center" vertical="center" wrapText="1"/>
    </xf>
    <xf numFmtId="165" fontId="3" fillId="2" borderId="18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6" fillId="2" borderId="19" xfId="2" applyNumberFormat="1" applyFont="1" applyFill="1" applyBorder="1" applyAlignment="1">
      <alignment horizontal="center"/>
    </xf>
    <xf numFmtId="0" fontId="6" fillId="2" borderId="0" xfId="2" applyFont="1" applyFill="1" applyBorder="1" applyAlignment="1">
      <alignment horizontal="justify" wrapText="1"/>
    </xf>
    <xf numFmtId="49" fontId="6" fillId="2" borderId="19" xfId="2" applyNumberFormat="1" applyFont="1" applyFill="1" applyBorder="1" applyAlignment="1">
      <alignment horizontal="center" wrapText="1"/>
    </xf>
    <xf numFmtId="49" fontId="4" fillId="2" borderId="19" xfId="2" applyNumberFormat="1" applyFont="1" applyFill="1" applyBorder="1" applyAlignment="1">
      <alignment horizontal="center"/>
    </xf>
    <xf numFmtId="1" fontId="6" fillId="2" borderId="19" xfId="2" applyNumberFormat="1" applyFont="1" applyFill="1" applyBorder="1" applyAlignment="1">
      <alignment horizontal="justify" wrapText="1"/>
    </xf>
    <xf numFmtId="0" fontId="6" fillId="2" borderId="19" xfId="2" applyFont="1" applyFill="1" applyBorder="1" applyAlignment="1">
      <alignment horizontal="justify" wrapText="1"/>
    </xf>
    <xf numFmtId="0" fontId="6" fillId="2" borderId="19" xfId="2" applyFont="1" applyFill="1" applyBorder="1" applyAlignment="1">
      <alignment horizontal="center"/>
    </xf>
    <xf numFmtId="49" fontId="6" fillId="2" borderId="19" xfId="2" applyNumberFormat="1" applyFont="1" applyFill="1" applyBorder="1" applyAlignment="1">
      <alignment horizontal="justify" wrapText="1"/>
    </xf>
    <xf numFmtId="0" fontId="6" fillId="2" borderId="19" xfId="2" applyFont="1" applyFill="1" applyBorder="1" applyAlignment="1">
      <alignment horizontal="center" wrapText="1"/>
    </xf>
    <xf numFmtId="164" fontId="6" fillId="2" borderId="19" xfId="1" applyNumberFormat="1" applyFont="1" applyFill="1" applyBorder="1" applyAlignment="1"/>
    <xf numFmtId="164" fontId="6" fillId="2" borderId="0" xfId="1" applyNumberFormat="1" applyFont="1" applyFill="1" applyBorder="1" applyAlignment="1"/>
    <xf numFmtId="166" fontId="6" fillId="2" borderId="19" xfId="1" applyNumberFormat="1" applyFont="1" applyFill="1" applyBorder="1" applyAlignment="1">
      <alignment horizontal="center"/>
    </xf>
    <xf numFmtId="0" fontId="6" fillId="2" borderId="0" xfId="2" applyFont="1" applyFill="1" applyBorder="1" applyAlignment="1"/>
    <xf numFmtId="49" fontId="3" fillId="3" borderId="20" xfId="2" applyNumberFormat="1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left" vertical="center" wrapText="1"/>
    </xf>
    <xf numFmtId="0" fontId="3" fillId="3" borderId="3" xfId="2" applyFont="1" applyFill="1" applyBorder="1" applyAlignment="1">
      <alignment horizontal="left" vertical="center" wrapText="1"/>
    </xf>
    <xf numFmtId="49" fontId="7" fillId="3" borderId="21" xfId="2" applyNumberFormat="1" applyFont="1" applyFill="1" applyBorder="1" applyAlignment="1">
      <alignment horizontal="center" vertical="center"/>
    </xf>
    <xf numFmtId="1" fontId="3" fillId="3" borderId="21" xfId="2" applyNumberFormat="1" applyFont="1" applyFill="1" applyBorder="1" applyAlignment="1">
      <alignment horizontal="justify" vertical="center" wrapText="1"/>
    </xf>
    <xf numFmtId="0" fontId="3" fillId="3" borderId="2" xfId="2" applyFont="1" applyFill="1" applyBorder="1" applyAlignment="1">
      <alignment horizontal="left" vertical="center" wrapText="1"/>
    </xf>
    <xf numFmtId="164" fontId="3" fillId="3" borderId="21" xfId="1" applyNumberFormat="1" applyFont="1" applyFill="1" applyBorder="1" applyAlignment="1">
      <alignment vertical="center"/>
    </xf>
    <xf numFmtId="166" fontId="3" fillId="3" borderId="21" xfId="1" applyNumberFormat="1" applyFont="1" applyFill="1" applyBorder="1" applyAlignment="1">
      <alignment horizontal="center" vertical="center"/>
    </xf>
    <xf numFmtId="166" fontId="3" fillId="3" borderId="22" xfId="1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49" fontId="6" fillId="2" borderId="23" xfId="2" applyNumberFormat="1" applyFont="1" applyFill="1" applyBorder="1" applyAlignment="1">
      <alignment horizontal="center"/>
    </xf>
    <xf numFmtId="0" fontId="6" fillId="2" borderId="11" xfId="2" applyFont="1" applyFill="1" applyBorder="1" applyAlignment="1">
      <alignment horizontal="justify" wrapText="1"/>
    </xf>
    <xf numFmtId="49" fontId="6" fillId="2" borderId="12" xfId="2" applyNumberFormat="1" applyFont="1" applyFill="1" applyBorder="1" applyAlignment="1">
      <alignment horizontal="center" wrapText="1"/>
    </xf>
    <xf numFmtId="49" fontId="4" fillId="2" borderId="12" xfId="2" applyNumberFormat="1" applyFont="1" applyFill="1" applyBorder="1" applyAlignment="1">
      <alignment horizontal="center"/>
    </xf>
    <xf numFmtId="1" fontId="6" fillId="2" borderId="12" xfId="2" applyNumberFormat="1" applyFont="1" applyFill="1" applyBorder="1" applyAlignment="1">
      <alignment horizontal="justify" wrapText="1"/>
    </xf>
    <xf numFmtId="0" fontId="6" fillId="2" borderId="12" xfId="2" applyFont="1" applyFill="1" applyBorder="1" applyAlignment="1">
      <alignment horizontal="justify" wrapText="1"/>
    </xf>
    <xf numFmtId="0" fontId="6" fillId="2" borderId="12" xfId="2" applyFont="1" applyFill="1" applyBorder="1" applyAlignment="1">
      <alignment horizontal="center"/>
    </xf>
    <xf numFmtId="49" fontId="6" fillId="2" borderId="12" xfId="2" applyNumberFormat="1" applyFont="1" applyFill="1" applyBorder="1" applyAlignment="1">
      <alignment horizontal="justify" wrapText="1"/>
    </xf>
    <xf numFmtId="0" fontId="6" fillId="2" borderId="12" xfId="2" applyFont="1" applyFill="1" applyBorder="1" applyAlignment="1">
      <alignment horizontal="center" wrapText="1"/>
    </xf>
    <xf numFmtId="164" fontId="6" fillId="2" borderId="12" xfId="1" applyNumberFormat="1" applyFont="1" applyFill="1" applyBorder="1" applyAlignment="1"/>
    <xf numFmtId="164" fontId="6" fillId="2" borderId="11" xfId="1" applyNumberFormat="1" applyFont="1" applyFill="1" applyBorder="1" applyAlignment="1"/>
    <xf numFmtId="166" fontId="6" fillId="2" borderId="12" xfId="1" applyNumberFormat="1" applyFont="1" applyFill="1" applyBorder="1" applyAlignment="1">
      <alignment horizontal="center"/>
    </xf>
    <xf numFmtId="166" fontId="6" fillId="2" borderId="24" xfId="1" applyNumberFormat="1" applyFont="1" applyFill="1" applyBorder="1" applyAlignment="1">
      <alignment horizontal="center"/>
    </xf>
    <xf numFmtId="0" fontId="6" fillId="2" borderId="0" xfId="2" applyFont="1" applyFill="1" applyAlignment="1"/>
    <xf numFmtId="49" fontId="6" fillId="2" borderId="7" xfId="2" applyNumberFormat="1" applyFont="1" applyFill="1" applyBorder="1" applyAlignment="1">
      <alignment horizontal="center"/>
    </xf>
    <xf numFmtId="0" fontId="6" fillId="2" borderId="25" xfId="2" applyFont="1" applyFill="1" applyBorder="1" applyAlignment="1">
      <alignment horizontal="justify" wrapText="1"/>
    </xf>
    <xf numFmtId="49" fontId="6" fillId="2" borderId="26" xfId="2" applyNumberFormat="1" applyFont="1" applyFill="1" applyBorder="1" applyAlignment="1">
      <alignment horizontal="center" wrapText="1"/>
    </xf>
    <xf numFmtId="49" fontId="4" fillId="2" borderId="26" xfId="2" applyNumberFormat="1" applyFont="1" applyFill="1" applyBorder="1" applyAlignment="1">
      <alignment horizontal="center"/>
    </xf>
    <xf numFmtId="1" fontId="6" fillId="2" borderId="26" xfId="2" applyNumberFormat="1" applyFont="1" applyFill="1" applyBorder="1" applyAlignment="1">
      <alignment horizontal="justify" wrapText="1"/>
    </xf>
    <xf numFmtId="0" fontId="6" fillId="2" borderId="26" xfId="2" applyFont="1" applyFill="1" applyBorder="1" applyAlignment="1">
      <alignment horizontal="justify" wrapText="1"/>
    </xf>
    <xf numFmtId="0" fontId="6" fillId="2" borderId="26" xfId="2" applyFont="1" applyFill="1" applyBorder="1" applyAlignment="1">
      <alignment horizontal="center"/>
    </xf>
    <xf numFmtId="49" fontId="6" fillId="2" borderId="26" xfId="2" applyNumberFormat="1" applyFont="1" applyFill="1" applyBorder="1" applyAlignment="1">
      <alignment horizontal="justify" wrapText="1"/>
    </xf>
    <xf numFmtId="0" fontId="6" fillId="2" borderId="26" xfId="2" applyFont="1" applyFill="1" applyBorder="1" applyAlignment="1">
      <alignment horizontal="center" wrapText="1"/>
    </xf>
    <xf numFmtId="164" fontId="6" fillId="2" borderId="26" xfId="1" applyNumberFormat="1" applyFont="1" applyFill="1" applyBorder="1" applyAlignment="1"/>
    <xf numFmtId="164" fontId="6" fillId="2" borderId="25" xfId="1" applyNumberFormat="1" applyFont="1" applyFill="1" applyBorder="1" applyAlignment="1"/>
    <xf numFmtId="166" fontId="6" fillId="2" borderId="26" xfId="1" applyNumberFormat="1" applyFont="1" applyFill="1" applyBorder="1" applyAlignment="1">
      <alignment horizontal="center"/>
    </xf>
    <xf numFmtId="166" fontId="6" fillId="2" borderId="27" xfId="1" applyNumberFormat="1" applyFont="1" applyFill="1" applyBorder="1" applyAlignment="1">
      <alignment horizontal="center"/>
    </xf>
    <xf numFmtId="49" fontId="3" fillId="3" borderId="23" xfId="2" applyNumberFormat="1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left" vertical="center" wrapText="1"/>
    </xf>
    <xf numFmtId="0" fontId="3" fillId="3" borderId="8" xfId="2" applyFont="1" applyFill="1" applyBorder="1" applyAlignment="1">
      <alignment horizontal="left" vertical="center" wrapText="1"/>
    </xf>
    <xf numFmtId="49" fontId="7" fillId="3" borderId="12" xfId="2" applyNumberFormat="1" applyFont="1" applyFill="1" applyBorder="1" applyAlignment="1">
      <alignment horizontal="center" vertical="center"/>
    </xf>
    <xf numFmtId="1" fontId="3" fillId="3" borderId="12" xfId="2" applyNumberFormat="1" applyFont="1" applyFill="1" applyBorder="1" applyAlignment="1">
      <alignment horizontal="justify" vertical="center" wrapText="1"/>
    </xf>
    <xf numFmtId="0" fontId="3" fillId="3" borderId="26" xfId="2" applyFont="1" applyFill="1" applyBorder="1" applyAlignment="1">
      <alignment horizontal="left" vertical="center" wrapText="1"/>
    </xf>
    <xf numFmtId="164" fontId="3" fillId="3" borderId="12" xfId="1" applyNumberFormat="1" applyFont="1" applyFill="1" applyBorder="1" applyAlignment="1">
      <alignment vertical="center"/>
    </xf>
    <xf numFmtId="166" fontId="3" fillId="3" borderId="12" xfId="1" applyNumberFormat="1" applyFont="1" applyFill="1" applyBorder="1" applyAlignment="1">
      <alignment horizontal="center" vertical="center"/>
    </xf>
    <xf numFmtId="166" fontId="3" fillId="3" borderId="24" xfId="1" applyNumberFormat="1" applyFont="1" applyFill="1" applyBorder="1" applyAlignment="1">
      <alignment horizontal="center" vertical="center"/>
    </xf>
    <xf numFmtId="49" fontId="6" fillId="0" borderId="28" xfId="2" applyNumberFormat="1" applyFont="1" applyFill="1" applyBorder="1" applyAlignment="1">
      <alignment horizontal="center" wrapText="1"/>
    </xf>
    <xf numFmtId="49" fontId="6" fillId="0" borderId="28" xfId="2" applyNumberFormat="1" applyFont="1" applyFill="1" applyBorder="1" applyAlignment="1">
      <alignment horizontal="justify" wrapText="1"/>
    </xf>
    <xf numFmtId="49" fontId="6" fillId="2" borderId="28" xfId="2" applyNumberFormat="1" applyFont="1" applyFill="1" applyBorder="1" applyAlignment="1">
      <alignment horizontal="center" wrapText="1"/>
    </xf>
    <xf numFmtId="49" fontId="6" fillId="2" borderId="28" xfId="2" applyNumberFormat="1" applyFont="1" applyFill="1" applyBorder="1" applyAlignment="1">
      <alignment horizontal="justify" wrapText="1"/>
    </xf>
    <xf numFmtId="49" fontId="3" fillId="4" borderId="29" xfId="2" applyNumberFormat="1" applyFont="1" applyFill="1" applyBorder="1" applyAlignment="1">
      <alignment horizontal="center" vertical="center"/>
    </xf>
    <xf numFmtId="49" fontId="3" fillId="4" borderId="30" xfId="2" applyNumberFormat="1" applyFont="1" applyFill="1" applyBorder="1" applyAlignment="1">
      <alignment horizontal="center" vertical="center"/>
    </xf>
    <xf numFmtId="49" fontId="3" fillId="4" borderId="31" xfId="2" applyNumberFormat="1" applyFont="1" applyFill="1" applyBorder="1" applyAlignment="1">
      <alignment horizontal="center" vertical="center"/>
    </xf>
    <xf numFmtId="164" fontId="3" fillId="4" borderId="32" xfId="1" applyNumberFormat="1" applyFont="1" applyFill="1" applyBorder="1" applyAlignment="1">
      <alignment vertical="center"/>
    </xf>
    <xf numFmtId="166" fontId="3" fillId="4" borderId="32" xfId="1" applyNumberFormat="1" applyFont="1" applyFill="1" applyBorder="1" applyAlignment="1">
      <alignment horizontal="center" vertical="center"/>
    </xf>
    <xf numFmtId="166" fontId="3" fillId="4" borderId="33" xfId="1" applyNumberFormat="1" applyFont="1" applyFill="1" applyBorder="1" applyAlignment="1">
      <alignment horizontal="center" vertical="center"/>
    </xf>
    <xf numFmtId="49" fontId="6" fillId="2" borderId="34" xfId="2" applyNumberFormat="1" applyFont="1" applyFill="1" applyBorder="1" applyAlignment="1">
      <alignment horizontal="center"/>
    </xf>
    <xf numFmtId="49" fontId="4" fillId="2" borderId="11" xfId="2" applyNumberFormat="1" applyFont="1" applyFill="1" applyBorder="1" applyAlignment="1">
      <alignment horizontal="center"/>
    </xf>
    <xf numFmtId="1" fontId="6" fillId="2" borderId="11" xfId="2" applyNumberFormat="1" applyFont="1" applyFill="1" applyBorder="1" applyAlignment="1">
      <alignment horizontal="justify" wrapText="1"/>
    </xf>
    <xf numFmtId="0" fontId="6" fillId="2" borderId="11" xfId="2" applyFont="1" applyFill="1" applyBorder="1" applyAlignment="1">
      <alignment horizontal="center"/>
    </xf>
    <xf numFmtId="0" fontId="6" fillId="2" borderId="11" xfId="2" applyFont="1" applyFill="1" applyBorder="1" applyAlignment="1">
      <alignment horizontal="center" wrapText="1"/>
    </xf>
    <xf numFmtId="49" fontId="6" fillId="2" borderId="11" xfId="2" applyNumberFormat="1" applyFont="1" applyFill="1" applyBorder="1" applyAlignment="1">
      <alignment horizontal="center" wrapText="1"/>
    </xf>
    <xf numFmtId="49" fontId="6" fillId="2" borderId="11" xfId="2" applyNumberFormat="1" applyFont="1" applyFill="1" applyBorder="1" applyAlignment="1">
      <alignment horizontal="justify" wrapText="1"/>
    </xf>
    <xf numFmtId="49" fontId="3" fillId="3" borderId="34" xfId="2" applyNumberFormat="1" applyFont="1" applyFill="1" applyBorder="1" applyAlignment="1">
      <alignment horizontal="center" vertical="center"/>
    </xf>
    <xf numFmtId="49" fontId="6" fillId="0" borderId="11" xfId="2" applyNumberFormat="1" applyFont="1" applyFill="1" applyBorder="1" applyAlignment="1">
      <alignment horizontal="center" wrapText="1"/>
    </xf>
    <xf numFmtId="49" fontId="6" fillId="0" borderId="11" xfId="2" applyNumberFormat="1" applyFont="1" applyFill="1" applyBorder="1" applyAlignment="1">
      <alignment horizontal="justify" wrapText="1"/>
    </xf>
    <xf numFmtId="49" fontId="6" fillId="0" borderId="12" xfId="2" applyNumberFormat="1" applyFont="1" applyFill="1" applyBorder="1" applyAlignment="1">
      <alignment horizontal="justify" wrapText="1"/>
    </xf>
    <xf numFmtId="49" fontId="6" fillId="2" borderId="35" xfId="2" applyNumberFormat="1" applyFont="1" applyFill="1" applyBorder="1" applyAlignment="1">
      <alignment horizontal="center"/>
    </xf>
    <xf numFmtId="165" fontId="3" fillId="2" borderId="0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/>
    <xf numFmtId="49" fontId="6" fillId="0" borderId="12" xfId="2" applyNumberFormat="1" applyFont="1" applyFill="1" applyBorder="1" applyAlignment="1">
      <alignment horizontal="center" wrapText="1"/>
    </xf>
    <xf numFmtId="164" fontId="3" fillId="3" borderId="11" xfId="1" applyNumberFormat="1" applyFont="1" applyFill="1" applyBorder="1" applyAlignment="1">
      <alignment vertical="center"/>
    </xf>
    <xf numFmtId="49" fontId="6" fillId="2" borderId="9" xfId="2" applyNumberFormat="1" applyFont="1" applyFill="1" applyBorder="1" applyAlignment="1">
      <alignment horizontal="center" wrapText="1"/>
    </xf>
    <xf numFmtId="1" fontId="6" fillId="2" borderId="9" xfId="2" applyNumberFormat="1" applyFont="1" applyFill="1" applyBorder="1" applyAlignment="1">
      <alignment horizontal="justify" wrapText="1"/>
    </xf>
    <xf numFmtId="0" fontId="6" fillId="2" borderId="9" xfId="2" applyFont="1" applyFill="1" applyBorder="1" applyAlignment="1">
      <alignment horizontal="justify" wrapText="1"/>
    </xf>
    <xf numFmtId="166" fontId="3" fillId="3" borderId="9" xfId="1" applyNumberFormat="1" applyFont="1" applyFill="1" applyBorder="1" applyAlignment="1">
      <alignment horizontal="center" vertical="center"/>
    </xf>
    <xf numFmtId="166" fontId="6" fillId="2" borderId="25" xfId="1" applyNumberFormat="1" applyFont="1" applyFill="1" applyBorder="1" applyAlignment="1">
      <alignment horizontal="center"/>
    </xf>
    <xf numFmtId="166" fontId="6" fillId="2" borderId="36" xfId="1" applyNumberFormat="1" applyFont="1" applyFill="1" applyBorder="1" applyAlignment="1">
      <alignment horizontal="center"/>
    </xf>
    <xf numFmtId="166" fontId="6" fillId="2" borderId="9" xfId="1" applyNumberFormat="1" applyFont="1" applyFill="1" applyBorder="1" applyAlignment="1">
      <alignment horizontal="center"/>
    </xf>
    <xf numFmtId="164" fontId="3" fillId="2" borderId="0" xfId="2" applyNumberFormat="1" applyFont="1" applyFill="1" applyBorder="1" applyAlignment="1">
      <alignment vertical="center"/>
    </xf>
    <xf numFmtId="0" fontId="3" fillId="4" borderId="29" xfId="2" applyFont="1" applyFill="1" applyBorder="1" applyAlignment="1">
      <alignment horizontal="center" vertical="center"/>
    </xf>
    <xf numFmtId="0" fontId="3" fillId="4" borderId="30" xfId="2" applyFont="1" applyFill="1" applyBorder="1" applyAlignment="1">
      <alignment horizontal="center" vertical="center"/>
    </xf>
    <xf numFmtId="0" fontId="3" fillId="4" borderId="31" xfId="2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165" fontId="3" fillId="0" borderId="0" xfId="1" applyFont="1" applyBorder="1"/>
    <xf numFmtId="49" fontId="3" fillId="2" borderId="0" xfId="0" applyNumberFormat="1" applyFont="1" applyFill="1" applyBorder="1" applyAlignment="1">
      <alignment horizontal="left"/>
    </xf>
    <xf numFmtId="165" fontId="3" fillId="0" borderId="0" xfId="1" quotePrefix="1" applyFont="1" applyBorder="1"/>
    <xf numFmtId="49" fontId="3" fillId="2" borderId="0" xfId="0" applyNumberFormat="1" applyFont="1" applyFill="1" applyBorder="1" applyAlignment="1">
      <alignment horizontal="left"/>
    </xf>
    <xf numFmtId="165" fontId="3" fillId="0" borderId="0" xfId="1" applyFont="1"/>
    <xf numFmtId="0" fontId="3" fillId="0" borderId="0" xfId="0" applyFont="1"/>
    <xf numFmtId="49" fontId="3" fillId="2" borderId="0" xfId="0" applyNumberFormat="1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right" wrapText="1"/>
    </xf>
    <xf numFmtId="164" fontId="0" fillId="0" borderId="0" xfId="1" applyNumberFormat="1" applyFont="1"/>
    <xf numFmtId="165" fontId="0" fillId="0" borderId="0" xfId="1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2" borderId="0" xfId="0" applyFont="1" applyFill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49" fontId="0" fillId="2" borderId="0" xfId="0" applyNumberFormat="1" applyFill="1" applyAlignment="1">
      <alignment horizontal="center" wrapText="1"/>
    </xf>
    <xf numFmtId="164" fontId="0" fillId="2" borderId="0" xfId="1" applyNumberFormat="1" applyFont="1" applyFill="1"/>
    <xf numFmtId="164" fontId="8" fillId="0" borderId="0" xfId="1" applyNumberFormat="1" applyFont="1"/>
    <xf numFmtId="166" fontId="0" fillId="0" borderId="0" xfId="1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justify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justify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1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0" fillId="0" borderId="0" xfId="0" applyBorder="1"/>
    <xf numFmtId="164" fontId="7" fillId="0" borderId="0" xfId="1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6" fontId="7" fillId="0" borderId="0" xfId="1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166" fontId="7" fillId="0" borderId="0" xfId="1" applyNumberFormat="1" applyFont="1" applyAlignment="1">
      <alignment horizontal="center"/>
    </xf>
    <xf numFmtId="164" fontId="6" fillId="0" borderId="0" xfId="1" applyNumberFormat="1" applyFont="1"/>
    <xf numFmtId="164" fontId="0" fillId="0" borderId="0" xfId="1" applyNumberFormat="1" applyFont="1" applyAlignment="1">
      <alignment horizontal="right"/>
    </xf>
    <xf numFmtId="164" fontId="0" fillId="0" borderId="0" xfId="0" applyNumberFormat="1" applyBorder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164" fontId="7" fillId="0" borderId="0" xfId="1" applyNumberFormat="1" applyFont="1"/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0" fontId="7" fillId="0" borderId="0" xfId="0" applyFont="1"/>
    <xf numFmtId="0" fontId="4" fillId="0" borderId="0" xfId="0" applyFont="1" applyAlignment="1">
      <alignment horizontal="center" wrapText="1"/>
    </xf>
    <xf numFmtId="164" fontId="11" fillId="0" borderId="0" xfId="1" applyNumberFormat="1" applyFont="1" applyAlignment="1">
      <alignment horizontal="right"/>
    </xf>
    <xf numFmtId="166" fontId="11" fillId="0" borderId="0" xfId="1" applyNumberFormat="1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49" fontId="4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vertical="center" wrapText="1"/>
    </xf>
  </cellXfs>
  <cellStyles count="3">
    <cellStyle name="Normal" xfId="0" builtinId="0"/>
    <cellStyle name="Normal 2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432"/>
  <sheetViews>
    <sheetView showGridLines="0" tabSelected="1" zoomScaleNormal="100" workbookViewId="0">
      <selection activeCell="Q376" sqref="Q376"/>
    </sheetView>
  </sheetViews>
  <sheetFormatPr defaultRowHeight="12.75" x14ac:dyDescent="0.2"/>
  <cols>
    <col min="1" max="1" width="6.7109375" style="181" customWidth="1"/>
    <col min="2" max="2" width="16.7109375" style="182" customWidth="1"/>
    <col min="3" max="3" width="8.5703125" style="169" customWidth="1"/>
    <col min="4" max="4" width="15.7109375" style="169" customWidth="1"/>
    <col min="5" max="5" width="15.5703125" style="182" customWidth="1"/>
    <col min="6" max="6" width="23.7109375" style="182" customWidth="1"/>
    <col min="7" max="7" width="5.7109375" style="169" customWidth="1"/>
    <col min="8" max="8" width="6.140625" style="183" customWidth="1"/>
    <col min="9" max="9" width="17.7109375" style="184" customWidth="1"/>
    <col min="10" max="10" width="4.42578125" style="185" customWidth="1"/>
    <col min="11" max="11" width="15" style="166" customWidth="1"/>
    <col min="12" max="13" width="14.140625" style="166" customWidth="1"/>
    <col min="14" max="14" width="15.42578125" style="166" customWidth="1"/>
    <col min="15" max="15" width="13.7109375" style="166" customWidth="1"/>
    <col min="16" max="17" width="14.140625" style="166" customWidth="1"/>
    <col min="18" max="18" width="15.42578125" style="166" customWidth="1"/>
    <col min="19" max="19" width="15.42578125" style="198" customWidth="1"/>
    <col min="20" max="20" width="6.7109375" style="179" customWidth="1"/>
    <col min="21" max="21" width="15.42578125" style="198" customWidth="1"/>
    <col min="22" max="22" width="6.7109375" style="179" customWidth="1"/>
    <col min="23" max="23" width="15.42578125" style="166" customWidth="1"/>
    <col min="24" max="24" width="6.7109375" style="188" customWidth="1"/>
    <col min="25" max="25" width="14" style="189" bestFit="1" customWidth="1"/>
    <col min="26" max="26" width="13.5703125" bestFit="1" customWidth="1"/>
  </cols>
  <sheetData>
    <row r="1" spans="1:25" s="3" customFormat="1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</row>
    <row r="2" spans="1:25" s="3" customFormat="1" ht="1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</row>
    <row r="3" spans="1:25" s="3" customFormat="1" ht="1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</row>
    <row r="4" spans="1:25" s="3" customFormat="1" ht="15" x14ac:dyDescent="0.2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/>
      <c r="S4" s="4"/>
      <c r="T4" s="4"/>
      <c r="U4" s="4"/>
      <c r="V4" s="4"/>
      <c r="W4" s="4"/>
      <c r="X4" s="4"/>
      <c r="Y4" s="2"/>
    </row>
    <row r="5" spans="1:25" s="3" customFormat="1" ht="15" x14ac:dyDescent="0.2">
      <c r="A5" s="4" t="s">
        <v>302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/>
      <c r="S5" s="4"/>
      <c r="T5" s="4"/>
      <c r="U5" s="4"/>
      <c r="V5" s="4"/>
      <c r="W5" s="4"/>
      <c r="X5" s="4"/>
      <c r="Y5" s="2"/>
    </row>
    <row r="6" spans="1:25" s="3" customFormat="1" ht="15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2"/>
    </row>
    <row r="7" spans="1:25" s="3" customFormat="1" ht="15" customHeight="1" x14ac:dyDescent="0.2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2"/>
    </row>
    <row r="8" spans="1:25" s="3" customFormat="1" ht="16.5" thickBot="1" x14ac:dyDescent="0.25">
      <c r="A8" s="6"/>
      <c r="B8" s="7"/>
      <c r="C8" s="8"/>
      <c r="D8" s="8"/>
      <c r="E8" s="9"/>
      <c r="F8" s="7"/>
      <c r="G8" s="8"/>
      <c r="H8" s="8"/>
      <c r="I8" s="7"/>
      <c r="J8" s="8"/>
      <c r="K8" s="10"/>
      <c r="L8" s="10"/>
      <c r="M8" s="10"/>
      <c r="N8" s="10"/>
      <c r="O8" s="10"/>
      <c r="P8" s="10"/>
      <c r="Q8" s="10"/>
      <c r="R8" s="10"/>
      <c r="S8" s="10"/>
      <c r="T8" s="8"/>
      <c r="U8" s="10"/>
      <c r="V8" s="8"/>
      <c r="W8" s="10"/>
      <c r="X8" s="8"/>
      <c r="Y8" s="2"/>
    </row>
    <row r="9" spans="1:25" s="23" customFormat="1" ht="27" customHeight="1" x14ac:dyDescent="0.2">
      <c r="A9" s="11" t="s">
        <v>6</v>
      </c>
      <c r="B9" s="12"/>
      <c r="C9" s="12"/>
      <c r="D9" s="12"/>
      <c r="E9" s="12"/>
      <c r="F9" s="12"/>
      <c r="G9" s="12"/>
      <c r="H9" s="12"/>
      <c r="I9" s="12"/>
      <c r="J9" s="13"/>
      <c r="K9" s="14" t="s">
        <v>7</v>
      </c>
      <c r="L9" s="15" t="s">
        <v>8</v>
      </c>
      <c r="M9" s="16"/>
      <c r="N9" s="14" t="s">
        <v>9</v>
      </c>
      <c r="O9" s="14" t="s">
        <v>10</v>
      </c>
      <c r="P9" s="17" t="s">
        <v>11</v>
      </c>
      <c r="Q9" s="18"/>
      <c r="R9" s="14" t="s">
        <v>12</v>
      </c>
      <c r="S9" s="19" t="s">
        <v>13</v>
      </c>
      <c r="T9" s="20"/>
      <c r="U9" s="20"/>
      <c r="V9" s="20"/>
      <c r="W9" s="20"/>
      <c r="X9" s="21"/>
      <c r="Y9" s="22"/>
    </row>
    <row r="10" spans="1:25" s="38" customFormat="1" ht="27" customHeight="1" x14ac:dyDescent="0.2">
      <c r="A10" s="24" t="s">
        <v>14</v>
      </c>
      <c r="B10" s="25"/>
      <c r="C10" s="26" t="s">
        <v>15</v>
      </c>
      <c r="D10" s="27" t="s">
        <v>16</v>
      </c>
      <c r="E10" s="28" t="s">
        <v>17</v>
      </c>
      <c r="F10" s="25"/>
      <c r="G10" s="26" t="s">
        <v>18</v>
      </c>
      <c r="H10" s="29" t="s">
        <v>19</v>
      </c>
      <c r="I10" s="30"/>
      <c r="J10" s="26" t="s">
        <v>20</v>
      </c>
      <c r="K10" s="31"/>
      <c r="L10" s="32" t="s">
        <v>21</v>
      </c>
      <c r="M10" s="32" t="s">
        <v>22</v>
      </c>
      <c r="N10" s="31"/>
      <c r="O10" s="31"/>
      <c r="P10" s="32" t="s">
        <v>23</v>
      </c>
      <c r="Q10" s="33" t="s">
        <v>24</v>
      </c>
      <c r="R10" s="31"/>
      <c r="S10" s="34" t="s">
        <v>25</v>
      </c>
      <c r="T10" s="35" t="s">
        <v>26</v>
      </c>
      <c r="U10" s="34" t="s">
        <v>27</v>
      </c>
      <c r="V10" s="35" t="s">
        <v>26</v>
      </c>
      <c r="W10" s="34" t="s">
        <v>28</v>
      </c>
      <c r="X10" s="36" t="s">
        <v>26</v>
      </c>
      <c r="Y10" s="37"/>
    </row>
    <row r="11" spans="1:25" s="52" customFormat="1" ht="27" customHeight="1" thickBot="1" x14ac:dyDescent="0.25">
      <c r="A11" s="39" t="s">
        <v>29</v>
      </c>
      <c r="B11" s="40" t="s">
        <v>17</v>
      </c>
      <c r="C11" s="41"/>
      <c r="D11" s="42"/>
      <c r="E11" s="43" t="s">
        <v>30</v>
      </c>
      <c r="F11" s="43" t="s">
        <v>31</v>
      </c>
      <c r="G11" s="41"/>
      <c r="H11" s="44" t="s">
        <v>29</v>
      </c>
      <c r="I11" s="40" t="s">
        <v>17</v>
      </c>
      <c r="J11" s="41"/>
      <c r="K11" s="45" t="s">
        <v>32</v>
      </c>
      <c r="L11" s="46" t="s">
        <v>33</v>
      </c>
      <c r="M11" s="46" t="s">
        <v>34</v>
      </c>
      <c r="N11" s="46" t="s">
        <v>35</v>
      </c>
      <c r="O11" s="46" t="s">
        <v>36</v>
      </c>
      <c r="P11" s="47" t="s">
        <v>37</v>
      </c>
      <c r="Q11" s="47" t="s">
        <v>38</v>
      </c>
      <c r="R11" s="47" t="s">
        <v>39</v>
      </c>
      <c r="S11" s="47" t="s">
        <v>40</v>
      </c>
      <c r="T11" s="48" t="s">
        <v>41</v>
      </c>
      <c r="U11" s="47" t="s">
        <v>42</v>
      </c>
      <c r="V11" s="49" t="s">
        <v>43</v>
      </c>
      <c r="W11" s="47" t="s">
        <v>44</v>
      </c>
      <c r="X11" s="50" t="s">
        <v>45</v>
      </c>
      <c r="Y11" s="51"/>
    </row>
    <row r="12" spans="1:25" s="65" customFormat="1" ht="12" customHeight="1" thickBot="1" x14ac:dyDescent="0.25">
      <c r="A12" s="53"/>
      <c r="B12" s="54"/>
      <c r="C12" s="55"/>
      <c r="D12" s="56"/>
      <c r="E12" s="57"/>
      <c r="F12" s="58"/>
      <c r="G12" s="59"/>
      <c r="H12" s="55"/>
      <c r="I12" s="60"/>
      <c r="J12" s="61"/>
      <c r="K12" s="62"/>
      <c r="L12" s="63"/>
      <c r="M12" s="63"/>
      <c r="N12" s="62"/>
      <c r="O12" s="63"/>
      <c r="P12" s="63"/>
      <c r="Q12" s="63"/>
      <c r="R12" s="62"/>
      <c r="S12" s="63"/>
      <c r="T12" s="64"/>
      <c r="U12" s="63"/>
      <c r="V12" s="64"/>
      <c r="W12" s="63"/>
      <c r="X12" s="64"/>
    </row>
    <row r="13" spans="1:25" s="76" customFormat="1" ht="39" customHeight="1" x14ac:dyDescent="0.2">
      <c r="A13" s="66" t="s">
        <v>46</v>
      </c>
      <c r="B13" s="67" t="s">
        <v>47</v>
      </c>
      <c r="C13" s="68"/>
      <c r="D13" s="69" t="s">
        <v>48</v>
      </c>
      <c r="E13" s="70" t="s">
        <v>49</v>
      </c>
      <c r="F13" s="67" t="s">
        <v>50</v>
      </c>
      <c r="G13" s="71"/>
      <c r="H13" s="71"/>
      <c r="I13" s="71"/>
      <c r="J13" s="68"/>
      <c r="K13" s="72">
        <f>SUM(K14:K15)</f>
        <v>3078437</v>
      </c>
      <c r="L13" s="72">
        <f>SUM(L14:L15)</f>
        <v>0</v>
      </c>
      <c r="M13" s="72">
        <f t="shared" ref="M13:S13" si="0">SUM(M14:M15)</f>
        <v>3078437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0</v>
      </c>
      <c r="R13" s="72">
        <f t="shared" si="0"/>
        <v>0</v>
      </c>
      <c r="S13" s="72">
        <f t="shared" si="0"/>
        <v>0</v>
      </c>
      <c r="T13" s="73">
        <v>0</v>
      </c>
      <c r="U13" s="72">
        <f>SUM(U14:U15)</f>
        <v>0</v>
      </c>
      <c r="V13" s="73">
        <v>0</v>
      </c>
      <c r="W13" s="72">
        <f>SUM(W14:W15)</f>
        <v>0</v>
      </c>
      <c r="X13" s="74">
        <v>0</v>
      </c>
      <c r="Y13" s="75"/>
    </row>
    <row r="14" spans="1:25" s="90" customFormat="1" ht="39" customHeight="1" x14ac:dyDescent="0.2">
      <c r="A14" s="77" t="s">
        <v>46</v>
      </c>
      <c r="B14" s="78" t="s">
        <v>47</v>
      </c>
      <c r="C14" s="79" t="s">
        <v>51</v>
      </c>
      <c r="D14" s="80" t="s">
        <v>48</v>
      </c>
      <c r="E14" s="81" t="s">
        <v>49</v>
      </c>
      <c r="F14" s="82" t="s">
        <v>50</v>
      </c>
      <c r="G14" s="83">
        <v>1</v>
      </c>
      <c r="H14" s="79" t="s">
        <v>52</v>
      </c>
      <c r="I14" s="84" t="s">
        <v>53</v>
      </c>
      <c r="J14" s="85">
        <v>1</v>
      </c>
      <c r="K14" s="86">
        <v>2648875</v>
      </c>
      <c r="L14" s="87">
        <v>0</v>
      </c>
      <c r="M14" s="87">
        <f>2648875</f>
        <v>2648875</v>
      </c>
      <c r="N14" s="86">
        <f t="shared" ref="N14:N83" si="1">K14+L14-M14</f>
        <v>0</v>
      </c>
      <c r="O14" s="87">
        <v>0</v>
      </c>
      <c r="P14" s="87">
        <v>0</v>
      </c>
      <c r="Q14" s="87">
        <v>0</v>
      </c>
      <c r="R14" s="86">
        <f t="shared" ref="R14:R115" si="2">N14-O14+P14+Q14</f>
        <v>0</v>
      </c>
      <c r="S14" s="87">
        <v>0</v>
      </c>
      <c r="T14" s="88">
        <v>0</v>
      </c>
      <c r="U14" s="87">
        <v>0</v>
      </c>
      <c r="V14" s="88">
        <v>0</v>
      </c>
      <c r="W14" s="87">
        <v>0</v>
      </c>
      <c r="X14" s="89">
        <v>0</v>
      </c>
      <c r="Y14" s="65"/>
    </row>
    <row r="15" spans="1:25" s="90" customFormat="1" ht="39" customHeight="1" x14ac:dyDescent="0.2">
      <c r="A15" s="77" t="s">
        <v>46</v>
      </c>
      <c r="B15" s="78" t="s">
        <v>47</v>
      </c>
      <c r="C15" s="79" t="s">
        <v>51</v>
      </c>
      <c r="D15" s="80" t="s">
        <v>48</v>
      </c>
      <c r="E15" s="81" t="s">
        <v>49</v>
      </c>
      <c r="F15" s="82" t="s">
        <v>50</v>
      </c>
      <c r="G15" s="83">
        <v>1</v>
      </c>
      <c r="H15" s="79" t="s">
        <v>52</v>
      </c>
      <c r="I15" s="84" t="s">
        <v>53</v>
      </c>
      <c r="J15" s="85">
        <v>3</v>
      </c>
      <c r="K15" s="86">
        <v>429562</v>
      </c>
      <c r="L15" s="87">
        <v>0</v>
      </c>
      <c r="M15" s="87">
        <f>429562</f>
        <v>429562</v>
      </c>
      <c r="N15" s="86">
        <f t="shared" si="1"/>
        <v>0</v>
      </c>
      <c r="O15" s="87">
        <v>0</v>
      </c>
      <c r="P15" s="87">
        <v>0</v>
      </c>
      <c r="Q15" s="87">
        <v>0</v>
      </c>
      <c r="R15" s="86">
        <f t="shared" si="2"/>
        <v>0</v>
      </c>
      <c r="S15" s="87">
        <v>0</v>
      </c>
      <c r="T15" s="88">
        <v>0</v>
      </c>
      <c r="U15" s="87">
        <v>0</v>
      </c>
      <c r="V15" s="88">
        <v>0</v>
      </c>
      <c r="W15" s="87">
        <v>0</v>
      </c>
      <c r="X15" s="89">
        <v>0</v>
      </c>
      <c r="Y15" s="65"/>
    </row>
    <row r="16" spans="1:25" s="65" customFormat="1" ht="9" customHeight="1" x14ac:dyDescent="0.2">
      <c r="A16" s="91"/>
      <c r="B16" s="92"/>
      <c r="C16" s="93"/>
      <c r="D16" s="94"/>
      <c r="E16" s="95"/>
      <c r="F16" s="96"/>
      <c r="G16" s="97"/>
      <c r="H16" s="93"/>
      <c r="I16" s="98"/>
      <c r="J16" s="99"/>
      <c r="K16" s="100"/>
      <c r="L16" s="101"/>
      <c r="M16" s="101"/>
      <c r="N16" s="100"/>
      <c r="O16" s="101"/>
      <c r="P16" s="101"/>
      <c r="Q16" s="101"/>
      <c r="R16" s="100"/>
      <c r="S16" s="101"/>
      <c r="T16" s="102"/>
      <c r="U16" s="101"/>
      <c r="V16" s="102"/>
      <c r="W16" s="101"/>
      <c r="X16" s="103"/>
    </row>
    <row r="17" spans="1:25" s="76" customFormat="1" ht="39" customHeight="1" x14ac:dyDescent="0.2">
      <c r="A17" s="104" t="s">
        <v>46</v>
      </c>
      <c r="B17" s="105" t="s">
        <v>47</v>
      </c>
      <c r="C17" s="106"/>
      <c r="D17" s="107" t="s">
        <v>54</v>
      </c>
      <c r="E17" s="108" t="s">
        <v>49</v>
      </c>
      <c r="F17" s="105" t="s">
        <v>55</v>
      </c>
      <c r="G17" s="109"/>
      <c r="H17" s="109"/>
      <c r="I17" s="109"/>
      <c r="J17" s="106"/>
      <c r="K17" s="110">
        <f>SUM(K18:K19)</f>
        <v>7067084</v>
      </c>
      <c r="L17" s="110">
        <f>SUM(L18:L19)</f>
        <v>0</v>
      </c>
      <c r="M17" s="110">
        <f t="shared" ref="M17:S17" si="3">SUM(M18:M19)</f>
        <v>7067084</v>
      </c>
      <c r="N17" s="110">
        <f t="shared" si="3"/>
        <v>0</v>
      </c>
      <c r="O17" s="110">
        <f t="shared" si="3"/>
        <v>0</v>
      </c>
      <c r="P17" s="110">
        <f t="shared" si="3"/>
        <v>0</v>
      </c>
      <c r="Q17" s="110">
        <f t="shared" si="3"/>
        <v>0</v>
      </c>
      <c r="R17" s="110">
        <f t="shared" si="3"/>
        <v>0</v>
      </c>
      <c r="S17" s="110">
        <f t="shared" si="3"/>
        <v>0</v>
      </c>
      <c r="T17" s="111">
        <v>0</v>
      </c>
      <c r="U17" s="110">
        <f>SUM(U18:U19)</f>
        <v>0</v>
      </c>
      <c r="V17" s="111">
        <v>0</v>
      </c>
      <c r="W17" s="110">
        <f>SUM(W18:W19)</f>
        <v>0</v>
      </c>
      <c r="X17" s="112">
        <v>0</v>
      </c>
      <c r="Y17" s="75"/>
    </row>
    <row r="18" spans="1:25" s="90" customFormat="1" ht="39" customHeight="1" x14ac:dyDescent="0.2">
      <c r="A18" s="77" t="s">
        <v>46</v>
      </c>
      <c r="B18" s="78" t="s">
        <v>47</v>
      </c>
      <c r="C18" s="79" t="s">
        <v>51</v>
      </c>
      <c r="D18" s="80" t="s">
        <v>54</v>
      </c>
      <c r="E18" s="81" t="s">
        <v>49</v>
      </c>
      <c r="F18" s="82" t="s">
        <v>55</v>
      </c>
      <c r="G18" s="83">
        <v>1</v>
      </c>
      <c r="H18" s="79" t="s">
        <v>52</v>
      </c>
      <c r="I18" s="84" t="s">
        <v>53</v>
      </c>
      <c r="J18" s="85">
        <v>1</v>
      </c>
      <c r="K18" s="86">
        <v>6833178</v>
      </c>
      <c r="L18" s="87">
        <v>0</v>
      </c>
      <c r="M18" s="87">
        <f>6833178</f>
        <v>6833178</v>
      </c>
      <c r="N18" s="86">
        <f t="shared" ref="N18:N19" si="4">K18+L18-M18</f>
        <v>0</v>
      </c>
      <c r="O18" s="87">
        <v>0</v>
      </c>
      <c r="P18" s="87">
        <v>0</v>
      </c>
      <c r="Q18" s="87">
        <v>0</v>
      </c>
      <c r="R18" s="86">
        <f t="shared" ref="R18:R19" si="5">N18-O18+P18+Q18</f>
        <v>0</v>
      </c>
      <c r="S18" s="87">
        <v>0</v>
      </c>
      <c r="T18" s="88">
        <v>0</v>
      </c>
      <c r="U18" s="87">
        <v>0</v>
      </c>
      <c r="V18" s="88">
        <v>0</v>
      </c>
      <c r="W18" s="87">
        <v>0</v>
      </c>
      <c r="X18" s="89">
        <v>0</v>
      </c>
      <c r="Y18" s="65"/>
    </row>
    <row r="19" spans="1:25" s="90" customFormat="1" ht="39" customHeight="1" x14ac:dyDescent="0.2">
      <c r="A19" s="77" t="s">
        <v>46</v>
      </c>
      <c r="B19" s="78" t="s">
        <v>47</v>
      </c>
      <c r="C19" s="79" t="s">
        <v>51</v>
      </c>
      <c r="D19" s="80" t="s">
        <v>54</v>
      </c>
      <c r="E19" s="81" t="s">
        <v>49</v>
      </c>
      <c r="F19" s="82" t="s">
        <v>55</v>
      </c>
      <c r="G19" s="83">
        <v>1</v>
      </c>
      <c r="H19" s="79" t="s">
        <v>52</v>
      </c>
      <c r="I19" s="84" t="s">
        <v>53</v>
      </c>
      <c r="J19" s="85">
        <v>3</v>
      </c>
      <c r="K19" s="86">
        <v>233906</v>
      </c>
      <c r="L19" s="87">
        <v>0</v>
      </c>
      <c r="M19" s="87">
        <f>233906</f>
        <v>233906</v>
      </c>
      <c r="N19" s="86">
        <f t="shared" si="4"/>
        <v>0</v>
      </c>
      <c r="O19" s="87">
        <v>0</v>
      </c>
      <c r="P19" s="87">
        <v>0</v>
      </c>
      <c r="Q19" s="87">
        <v>0</v>
      </c>
      <c r="R19" s="86">
        <f t="shared" si="5"/>
        <v>0</v>
      </c>
      <c r="S19" s="87">
        <v>0</v>
      </c>
      <c r="T19" s="88">
        <v>0</v>
      </c>
      <c r="U19" s="87">
        <v>0</v>
      </c>
      <c r="V19" s="88">
        <v>0</v>
      </c>
      <c r="W19" s="87">
        <v>0</v>
      </c>
      <c r="X19" s="89">
        <v>0</v>
      </c>
      <c r="Y19" s="65"/>
    </row>
    <row r="20" spans="1:25" s="65" customFormat="1" ht="9" customHeight="1" x14ac:dyDescent="0.2">
      <c r="A20" s="91"/>
      <c r="B20" s="92"/>
      <c r="C20" s="93"/>
      <c r="D20" s="94"/>
      <c r="E20" s="95"/>
      <c r="F20" s="96"/>
      <c r="G20" s="97"/>
      <c r="H20" s="93"/>
      <c r="I20" s="98"/>
      <c r="J20" s="99"/>
      <c r="K20" s="100"/>
      <c r="L20" s="101"/>
      <c r="M20" s="101"/>
      <c r="N20" s="100"/>
      <c r="O20" s="101"/>
      <c r="P20" s="101"/>
      <c r="Q20" s="101"/>
      <c r="R20" s="100"/>
      <c r="S20" s="101"/>
      <c r="T20" s="102"/>
      <c r="U20" s="101"/>
      <c r="V20" s="102"/>
      <c r="W20" s="101"/>
      <c r="X20" s="103"/>
    </row>
    <row r="21" spans="1:25" s="76" customFormat="1" ht="39" customHeight="1" x14ac:dyDescent="0.2">
      <c r="A21" s="104" t="s">
        <v>46</v>
      </c>
      <c r="B21" s="105" t="s">
        <v>47</v>
      </c>
      <c r="C21" s="106"/>
      <c r="D21" s="107" t="s">
        <v>56</v>
      </c>
      <c r="E21" s="108" t="s">
        <v>49</v>
      </c>
      <c r="F21" s="105" t="s">
        <v>57</v>
      </c>
      <c r="G21" s="109"/>
      <c r="H21" s="109"/>
      <c r="I21" s="109"/>
      <c r="J21" s="106"/>
      <c r="K21" s="110">
        <f>SUM(K22:K23)</f>
        <v>783914</v>
      </c>
      <c r="L21" s="110">
        <f>SUM(L22:L23)</f>
        <v>0</v>
      </c>
      <c r="M21" s="110">
        <f t="shared" ref="M21:S21" si="6">SUM(M22:M23)</f>
        <v>783914</v>
      </c>
      <c r="N21" s="110">
        <f t="shared" si="6"/>
        <v>0</v>
      </c>
      <c r="O21" s="110">
        <f t="shared" si="6"/>
        <v>0</v>
      </c>
      <c r="P21" s="110">
        <f t="shared" si="6"/>
        <v>0</v>
      </c>
      <c r="Q21" s="110">
        <f t="shared" si="6"/>
        <v>0</v>
      </c>
      <c r="R21" s="110">
        <f t="shared" si="6"/>
        <v>0</v>
      </c>
      <c r="S21" s="110">
        <f t="shared" si="6"/>
        <v>0</v>
      </c>
      <c r="T21" s="111">
        <v>0</v>
      </c>
      <c r="U21" s="110">
        <f>SUM(U22:U23)</f>
        <v>0</v>
      </c>
      <c r="V21" s="111">
        <v>0</v>
      </c>
      <c r="W21" s="110">
        <f>SUM(W22:W23)</f>
        <v>0</v>
      </c>
      <c r="X21" s="112">
        <v>0</v>
      </c>
      <c r="Y21" s="75"/>
    </row>
    <row r="22" spans="1:25" s="90" customFormat="1" ht="39" customHeight="1" x14ac:dyDescent="0.2">
      <c r="A22" s="77" t="s">
        <v>46</v>
      </c>
      <c r="B22" s="78" t="s">
        <v>47</v>
      </c>
      <c r="C22" s="79" t="s">
        <v>51</v>
      </c>
      <c r="D22" s="80" t="s">
        <v>56</v>
      </c>
      <c r="E22" s="81" t="s">
        <v>49</v>
      </c>
      <c r="F22" s="82" t="s">
        <v>57</v>
      </c>
      <c r="G22" s="83">
        <v>1</v>
      </c>
      <c r="H22" s="79" t="s">
        <v>52</v>
      </c>
      <c r="I22" s="84" t="s">
        <v>53</v>
      </c>
      <c r="J22" s="85">
        <v>1</v>
      </c>
      <c r="K22" s="86">
        <v>717326</v>
      </c>
      <c r="L22" s="87">
        <v>0</v>
      </c>
      <c r="M22" s="87">
        <f>717326</f>
        <v>717326</v>
      </c>
      <c r="N22" s="86">
        <f t="shared" si="1"/>
        <v>0</v>
      </c>
      <c r="O22" s="87">
        <v>0</v>
      </c>
      <c r="P22" s="87">
        <v>0</v>
      </c>
      <c r="Q22" s="87">
        <v>0</v>
      </c>
      <c r="R22" s="86">
        <f t="shared" si="2"/>
        <v>0</v>
      </c>
      <c r="S22" s="87">
        <v>0</v>
      </c>
      <c r="T22" s="88">
        <v>0</v>
      </c>
      <c r="U22" s="87">
        <v>0</v>
      </c>
      <c r="V22" s="88">
        <v>0</v>
      </c>
      <c r="W22" s="87">
        <v>0</v>
      </c>
      <c r="X22" s="89">
        <v>0</v>
      </c>
      <c r="Y22" s="65"/>
    </row>
    <row r="23" spans="1:25" s="90" customFormat="1" ht="39" customHeight="1" x14ac:dyDescent="0.2">
      <c r="A23" s="77" t="s">
        <v>46</v>
      </c>
      <c r="B23" s="78" t="s">
        <v>47</v>
      </c>
      <c r="C23" s="79" t="s">
        <v>51</v>
      </c>
      <c r="D23" s="80" t="s">
        <v>56</v>
      </c>
      <c r="E23" s="81" t="s">
        <v>49</v>
      </c>
      <c r="F23" s="82" t="s">
        <v>57</v>
      </c>
      <c r="G23" s="83">
        <v>1</v>
      </c>
      <c r="H23" s="79" t="s">
        <v>52</v>
      </c>
      <c r="I23" s="84" t="s">
        <v>53</v>
      </c>
      <c r="J23" s="85">
        <v>3</v>
      </c>
      <c r="K23" s="86">
        <v>66588</v>
      </c>
      <c r="L23" s="87">
        <v>0</v>
      </c>
      <c r="M23" s="87">
        <f>66588</f>
        <v>66588</v>
      </c>
      <c r="N23" s="86">
        <f t="shared" si="1"/>
        <v>0</v>
      </c>
      <c r="O23" s="87">
        <v>0</v>
      </c>
      <c r="P23" s="87">
        <v>0</v>
      </c>
      <c r="Q23" s="87">
        <v>0</v>
      </c>
      <c r="R23" s="86">
        <f t="shared" si="2"/>
        <v>0</v>
      </c>
      <c r="S23" s="87">
        <v>0</v>
      </c>
      <c r="T23" s="88">
        <v>0</v>
      </c>
      <c r="U23" s="87">
        <v>0</v>
      </c>
      <c r="V23" s="88">
        <v>0</v>
      </c>
      <c r="W23" s="87">
        <v>0</v>
      </c>
      <c r="X23" s="89">
        <v>0</v>
      </c>
      <c r="Y23" s="65"/>
    </row>
    <row r="24" spans="1:25" s="65" customFormat="1" ht="9" customHeight="1" x14ac:dyDescent="0.2">
      <c r="A24" s="91"/>
      <c r="B24" s="92"/>
      <c r="C24" s="93"/>
      <c r="D24" s="94"/>
      <c r="E24" s="95"/>
      <c r="F24" s="96"/>
      <c r="G24" s="97"/>
      <c r="H24" s="93"/>
      <c r="I24" s="98"/>
      <c r="J24" s="99"/>
      <c r="K24" s="100"/>
      <c r="L24" s="101"/>
      <c r="M24" s="101"/>
      <c r="N24" s="100"/>
      <c r="O24" s="101"/>
      <c r="P24" s="101"/>
      <c r="Q24" s="101"/>
      <c r="R24" s="100"/>
      <c r="S24" s="101"/>
      <c r="T24" s="102"/>
      <c r="U24" s="101"/>
      <c r="V24" s="102"/>
      <c r="W24" s="101"/>
      <c r="X24" s="103"/>
    </row>
    <row r="25" spans="1:25" s="76" customFormat="1" ht="39" customHeight="1" x14ac:dyDescent="0.2">
      <c r="A25" s="104" t="s">
        <v>46</v>
      </c>
      <c r="B25" s="105" t="s">
        <v>47</v>
      </c>
      <c r="C25" s="106"/>
      <c r="D25" s="107" t="s">
        <v>58</v>
      </c>
      <c r="E25" s="108" t="s">
        <v>49</v>
      </c>
      <c r="F25" s="105" t="s">
        <v>59</v>
      </c>
      <c r="G25" s="109"/>
      <c r="H25" s="109"/>
      <c r="I25" s="109"/>
      <c r="J25" s="106"/>
      <c r="K25" s="110">
        <f>SUM(K26:K27)</f>
        <v>2600000</v>
      </c>
      <c r="L25" s="110">
        <f>SUM(L26:L27)</f>
        <v>699092.98</v>
      </c>
      <c r="M25" s="110">
        <f t="shared" ref="M25:S25" si="7">SUM(M26:M27)</f>
        <v>200000</v>
      </c>
      <c r="N25" s="110">
        <f t="shared" si="7"/>
        <v>3099092.98</v>
      </c>
      <c r="O25" s="110">
        <f t="shared" si="7"/>
        <v>699092.98</v>
      </c>
      <c r="P25" s="110">
        <f t="shared" si="7"/>
        <v>0</v>
      </c>
      <c r="Q25" s="110">
        <f t="shared" si="7"/>
        <v>-1543252.89</v>
      </c>
      <c r="R25" s="110">
        <f t="shared" si="7"/>
        <v>856747.1100000001</v>
      </c>
      <c r="S25" s="110">
        <f t="shared" si="7"/>
        <v>0</v>
      </c>
      <c r="T25" s="111">
        <f>S25/R25</f>
        <v>0</v>
      </c>
      <c r="U25" s="110">
        <f>SUM(U26:U27)</f>
        <v>0</v>
      </c>
      <c r="V25" s="111">
        <f>U25/R25</f>
        <v>0</v>
      </c>
      <c r="W25" s="110">
        <f>SUM(W26:W27)</f>
        <v>0</v>
      </c>
      <c r="X25" s="112">
        <f>W25/R25</f>
        <v>0</v>
      </c>
      <c r="Y25" s="75"/>
    </row>
    <row r="26" spans="1:25" s="90" customFormat="1" ht="39" customHeight="1" x14ac:dyDescent="0.2">
      <c r="A26" s="77" t="s">
        <v>46</v>
      </c>
      <c r="B26" s="78" t="s">
        <v>47</v>
      </c>
      <c r="C26" s="79" t="s">
        <v>51</v>
      </c>
      <c r="D26" s="80" t="s">
        <v>58</v>
      </c>
      <c r="E26" s="81" t="s">
        <v>49</v>
      </c>
      <c r="F26" s="82" t="s">
        <v>60</v>
      </c>
      <c r="G26" s="83">
        <v>1</v>
      </c>
      <c r="H26" s="79" t="s">
        <v>52</v>
      </c>
      <c r="I26" s="84" t="s">
        <v>53</v>
      </c>
      <c r="J26" s="85">
        <v>1</v>
      </c>
      <c r="K26" s="86">
        <v>2600000</v>
      </c>
      <c r="L26" s="87">
        <v>0</v>
      </c>
      <c r="M26" s="87">
        <f>200000</f>
        <v>200000</v>
      </c>
      <c r="N26" s="86">
        <f t="shared" ref="N26:N27" si="8">K26+L26-M26</f>
        <v>2400000</v>
      </c>
      <c r="O26" s="87">
        <v>0</v>
      </c>
      <c r="P26" s="87">
        <v>0</v>
      </c>
      <c r="Q26" s="87">
        <f>-148771.72-139252.61-157488.76-151707.58-150202.1-148676.01-145831.2-144733.17-145442.41-211147.33</f>
        <v>-1543252.89</v>
      </c>
      <c r="R26" s="86">
        <f t="shared" ref="R26:R27" si="9">N26-O26+P26+Q26</f>
        <v>856747.1100000001</v>
      </c>
      <c r="S26" s="87">
        <v>0</v>
      </c>
      <c r="T26" s="88">
        <f>S26/R26</f>
        <v>0</v>
      </c>
      <c r="U26" s="87">
        <v>0</v>
      </c>
      <c r="V26" s="88">
        <f t="shared" ref="V26" si="10">U26/R26</f>
        <v>0</v>
      </c>
      <c r="W26" s="87">
        <v>0</v>
      </c>
      <c r="X26" s="89">
        <f t="shared" ref="X26" si="11">W26/R26</f>
        <v>0</v>
      </c>
      <c r="Y26" s="65"/>
    </row>
    <row r="27" spans="1:25" s="90" customFormat="1" ht="39" customHeight="1" x14ac:dyDescent="0.2">
      <c r="A27" s="77" t="s">
        <v>46</v>
      </c>
      <c r="B27" s="78" t="s">
        <v>47</v>
      </c>
      <c r="C27" s="79" t="s">
        <v>51</v>
      </c>
      <c r="D27" s="80" t="s">
        <v>58</v>
      </c>
      <c r="E27" s="81" t="s">
        <v>49</v>
      </c>
      <c r="F27" s="82" t="s">
        <v>60</v>
      </c>
      <c r="G27" s="83">
        <v>1</v>
      </c>
      <c r="H27" s="113" t="s">
        <v>61</v>
      </c>
      <c r="I27" s="114" t="s">
        <v>62</v>
      </c>
      <c r="J27" s="85">
        <v>1</v>
      </c>
      <c r="K27" s="86">
        <v>0</v>
      </c>
      <c r="L27" s="87">
        <v>699092.98</v>
      </c>
      <c r="M27" s="87">
        <v>0</v>
      </c>
      <c r="N27" s="86">
        <f t="shared" si="8"/>
        <v>699092.98</v>
      </c>
      <c r="O27" s="87">
        <f>699092.98</f>
        <v>699092.98</v>
      </c>
      <c r="P27" s="87">
        <v>0</v>
      </c>
      <c r="Q27" s="87">
        <v>0</v>
      </c>
      <c r="R27" s="86">
        <f t="shared" si="9"/>
        <v>0</v>
      </c>
      <c r="S27" s="87">
        <v>0</v>
      </c>
      <c r="T27" s="88">
        <v>0</v>
      </c>
      <c r="U27" s="87">
        <v>0</v>
      </c>
      <c r="V27" s="88">
        <v>0</v>
      </c>
      <c r="W27" s="87">
        <v>0</v>
      </c>
      <c r="X27" s="89">
        <v>0</v>
      </c>
      <c r="Y27" s="65"/>
    </row>
    <row r="28" spans="1:25" s="65" customFormat="1" ht="9" customHeight="1" x14ac:dyDescent="0.2">
      <c r="A28" s="91"/>
      <c r="B28" s="92"/>
      <c r="C28" s="93"/>
      <c r="D28" s="94"/>
      <c r="E28" s="95"/>
      <c r="F28" s="96"/>
      <c r="G28" s="97"/>
      <c r="H28" s="93"/>
      <c r="I28" s="98"/>
      <c r="J28" s="99"/>
      <c r="K28" s="100"/>
      <c r="L28" s="101"/>
      <c r="M28" s="101"/>
      <c r="N28" s="100"/>
      <c r="O28" s="101"/>
      <c r="P28" s="101"/>
      <c r="Q28" s="101"/>
      <c r="R28" s="100"/>
      <c r="S28" s="101"/>
      <c r="T28" s="102"/>
      <c r="U28" s="101"/>
      <c r="V28" s="102"/>
      <c r="W28" s="101"/>
      <c r="X28" s="103"/>
    </row>
    <row r="29" spans="1:25" s="76" customFormat="1" ht="39" customHeight="1" x14ac:dyDescent="0.2">
      <c r="A29" s="104" t="s">
        <v>46</v>
      </c>
      <c r="B29" s="105" t="s">
        <v>47</v>
      </c>
      <c r="C29" s="106"/>
      <c r="D29" s="107" t="s">
        <v>63</v>
      </c>
      <c r="E29" s="108" t="s">
        <v>49</v>
      </c>
      <c r="F29" s="105" t="s">
        <v>64</v>
      </c>
      <c r="G29" s="109"/>
      <c r="H29" s="109"/>
      <c r="I29" s="109"/>
      <c r="J29" s="106"/>
      <c r="K29" s="110">
        <f>SUM(K30:K31)</f>
        <v>866000</v>
      </c>
      <c r="L29" s="110">
        <f>SUM(L30:L31)</f>
        <v>564370.73</v>
      </c>
      <c r="M29" s="110">
        <f t="shared" ref="M29:S29" si="12">SUM(M30:M31)</f>
        <v>0</v>
      </c>
      <c r="N29" s="110">
        <f t="shared" si="12"/>
        <v>1430370.73</v>
      </c>
      <c r="O29" s="110">
        <f t="shared" si="12"/>
        <v>364370.73</v>
      </c>
      <c r="P29" s="110">
        <f t="shared" si="12"/>
        <v>0</v>
      </c>
      <c r="Q29" s="110">
        <f t="shared" si="12"/>
        <v>-845936.82000000007</v>
      </c>
      <c r="R29" s="110">
        <f t="shared" si="12"/>
        <v>220063.17999999993</v>
      </c>
      <c r="S29" s="110">
        <f t="shared" si="12"/>
        <v>0</v>
      </c>
      <c r="T29" s="111">
        <f>S29/R29</f>
        <v>0</v>
      </c>
      <c r="U29" s="110">
        <f>SUM(U30:U31)</f>
        <v>0</v>
      </c>
      <c r="V29" s="111">
        <f>U29/R29</f>
        <v>0</v>
      </c>
      <c r="W29" s="110">
        <f>SUM(W30:W31)</f>
        <v>0</v>
      </c>
      <c r="X29" s="112">
        <f>W29/R29</f>
        <v>0</v>
      </c>
      <c r="Y29" s="75"/>
    </row>
    <row r="30" spans="1:25" s="90" customFormat="1" ht="39" customHeight="1" x14ac:dyDescent="0.2">
      <c r="A30" s="77" t="s">
        <v>46</v>
      </c>
      <c r="B30" s="78" t="s">
        <v>47</v>
      </c>
      <c r="C30" s="79" t="s">
        <v>51</v>
      </c>
      <c r="D30" s="80" t="s">
        <v>63</v>
      </c>
      <c r="E30" s="81" t="s">
        <v>49</v>
      </c>
      <c r="F30" s="82" t="s">
        <v>65</v>
      </c>
      <c r="G30" s="83">
        <v>1</v>
      </c>
      <c r="H30" s="79" t="s">
        <v>52</v>
      </c>
      <c r="I30" s="84" t="s">
        <v>53</v>
      </c>
      <c r="J30" s="85">
        <v>1</v>
      </c>
      <c r="K30" s="86">
        <v>866000</v>
      </c>
      <c r="L30" s="87">
        <f>200000</f>
        <v>200000</v>
      </c>
      <c r="M30" s="87">
        <v>0</v>
      </c>
      <c r="N30" s="86">
        <f t="shared" ref="N30:N31" si="13">K30+L30-M30</f>
        <v>1066000</v>
      </c>
      <c r="O30" s="87">
        <v>0</v>
      </c>
      <c r="P30" s="87">
        <v>0</v>
      </c>
      <c r="Q30" s="87">
        <f>-74825.18-74825.18-86818.77-81976.87-80667.64-80886.92-79358.58-79328.89-83348.37-123900.42</f>
        <v>-845936.82000000007</v>
      </c>
      <c r="R30" s="86">
        <f t="shared" ref="R30:R31" si="14">N30-O30+P30+Q30</f>
        <v>220063.17999999993</v>
      </c>
      <c r="S30" s="87">
        <v>0</v>
      </c>
      <c r="T30" s="88">
        <f>S30/R30</f>
        <v>0</v>
      </c>
      <c r="U30" s="87">
        <v>0</v>
      </c>
      <c r="V30" s="88">
        <f t="shared" ref="V30" si="15">U30/R30</f>
        <v>0</v>
      </c>
      <c r="W30" s="87">
        <v>0</v>
      </c>
      <c r="X30" s="89">
        <f t="shared" ref="X30" si="16">W30/R30</f>
        <v>0</v>
      </c>
      <c r="Y30" s="65"/>
    </row>
    <row r="31" spans="1:25" s="90" customFormat="1" ht="39" customHeight="1" x14ac:dyDescent="0.2">
      <c r="A31" s="77" t="s">
        <v>46</v>
      </c>
      <c r="B31" s="78" t="s">
        <v>47</v>
      </c>
      <c r="C31" s="79" t="s">
        <v>51</v>
      </c>
      <c r="D31" s="80" t="s">
        <v>63</v>
      </c>
      <c r="E31" s="81" t="s">
        <v>49</v>
      </c>
      <c r="F31" s="82" t="s">
        <v>65</v>
      </c>
      <c r="G31" s="83">
        <v>1</v>
      </c>
      <c r="H31" s="113" t="s">
        <v>61</v>
      </c>
      <c r="I31" s="114" t="s">
        <v>62</v>
      </c>
      <c r="J31" s="85">
        <v>1</v>
      </c>
      <c r="K31" s="86">
        <v>0</v>
      </c>
      <c r="L31" s="87">
        <f>364370.73</f>
        <v>364370.73</v>
      </c>
      <c r="M31" s="87">
        <v>0</v>
      </c>
      <c r="N31" s="86">
        <f t="shared" si="13"/>
        <v>364370.73</v>
      </c>
      <c r="O31" s="87">
        <f>364370.73</f>
        <v>364370.73</v>
      </c>
      <c r="P31" s="87">
        <v>0</v>
      </c>
      <c r="Q31" s="87">
        <v>0</v>
      </c>
      <c r="R31" s="86">
        <f t="shared" si="14"/>
        <v>0</v>
      </c>
      <c r="S31" s="87">
        <v>0</v>
      </c>
      <c r="T31" s="88">
        <v>0</v>
      </c>
      <c r="U31" s="87">
        <v>0</v>
      </c>
      <c r="V31" s="88">
        <v>0</v>
      </c>
      <c r="W31" s="87">
        <v>0</v>
      </c>
      <c r="X31" s="89">
        <v>0</v>
      </c>
      <c r="Y31" s="65"/>
    </row>
    <row r="32" spans="1:25" s="65" customFormat="1" ht="9" customHeight="1" x14ac:dyDescent="0.2">
      <c r="A32" s="91"/>
      <c r="B32" s="92"/>
      <c r="C32" s="93"/>
      <c r="D32" s="94"/>
      <c r="E32" s="95"/>
      <c r="F32" s="96"/>
      <c r="G32" s="97"/>
      <c r="H32" s="93"/>
      <c r="I32" s="98"/>
      <c r="J32" s="99"/>
      <c r="K32" s="100"/>
      <c r="L32" s="101"/>
      <c r="M32" s="101"/>
      <c r="N32" s="100"/>
      <c r="O32" s="101"/>
      <c r="P32" s="101"/>
      <c r="Q32" s="101"/>
      <c r="R32" s="100"/>
      <c r="S32" s="101"/>
      <c r="T32" s="102"/>
      <c r="U32" s="101"/>
      <c r="V32" s="102"/>
      <c r="W32" s="101"/>
      <c r="X32" s="103"/>
    </row>
    <row r="33" spans="1:25" s="76" customFormat="1" ht="39" customHeight="1" x14ac:dyDescent="0.2">
      <c r="A33" s="104" t="s">
        <v>46</v>
      </c>
      <c r="B33" s="105" t="s">
        <v>47</v>
      </c>
      <c r="C33" s="106"/>
      <c r="D33" s="107" t="s">
        <v>66</v>
      </c>
      <c r="E33" s="108" t="s">
        <v>49</v>
      </c>
      <c r="F33" s="105" t="s">
        <v>67</v>
      </c>
      <c r="G33" s="109"/>
      <c r="H33" s="109"/>
      <c r="I33" s="109"/>
      <c r="J33" s="106"/>
      <c r="K33" s="110">
        <f>SUM(K34:K36)</f>
        <v>6141273</v>
      </c>
      <c r="L33" s="110">
        <f>SUM(L34:L36)</f>
        <v>1729828</v>
      </c>
      <c r="M33" s="110">
        <f t="shared" ref="M33:S33" si="17">SUM(M34:M36)</f>
        <v>20000</v>
      </c>
      <c r="N33" s="110">
        <f t="shared" si="17"/>
        <v>7851101</v>
      </c>
      <c r="O33" s="110">
        <f t="shared" si="17"/>
        <v>2269798</v>
      </c>
      <c r="P33" s="110">
        <f t="shared" si="17"/>
        <v>0</v>
      </c>
      <c r="Q33" s="110">
        <f t="shared" si="17"/>
        <v>0</v>
      </c>
      <c r="R33" s="110">
        <f t="shared" si="17"/>
        <v>5581303</v>
      </c>
      <c r="S33" s="110">
        <f t="shared" si="17"/>
        <v>3341973.35</v>
      </c>
      <c r="T33" s="111">
        <f>S33/R33</f>
        <v>0.59878013252460938</v>
      </c>
      <c r="U33" s="110">
        <f>SUM(U34:U36)</f>
        <v>3341973.35</v>
      </c>
      <c r="V33" s="111">
        <f>U33/R33</f>
        <v>0.59878013252460938</v>
      </c>
      <c r="W33" s="110">
        <f>SUM(W34:W36)</f>
        <v>3312228.35</v>
      </c>
      <c r="X33" s="112">
        <f>W33/R33</f>
        <v>0.593450731845234</v>
      </c>
      <c r="Y33" s="75"/>
    </row>
    <row r="34" spans="1:25" s="90" customFormat="1" ht="39" customHeight="1" x14ac:dyDescent="0.2">
      <c r="A34" s="77" t="s">
        <v>46</v>
      </c>
      <c r="B34" s="78" t="s">
        <v>47</v>
      </c>
      <c r="C34" s="79" t="s">
        <v>51</v>
      </c>
      <c r="D34" s="80" t="s">
        <v>66</v>
      </c>
      <c r="E34" s="81" t="s">
        <v>49</v>
      </c>
      <c r="F34" s="82" t="s">
        <v>67</v>
      </c>
      <c r="G34" s="83">
        <v>1</v>
      </c>
      <c r="H34" s="79" t="s">
        <v>68</v>
      </c>
      <c r="I34" s="84" t="s">
        <v>69</v>
      </c>
      <c r="J34" s="85">
        <v>3</v>
      </c>
      <c r="K34" s="86">
        <v>5588558</v>
      </c>
      <c r="L34" s="87">
        <v>0</v>
      </c>
      <c r="M34" s="87">
        <f>20000</f>
        <v>20000</v>
      </c>
      <c r="N34" s="86">
        <f t="shared" ref="N34:N36" si="18">K34+L34-M34</f>
        <v>5568558</v>
      </c>
      <c r="O34" s="87">
        <f>555000</f>
        <v>555000</v>
      </c>
      <c r="P34" s="87">
        <v>0</v>
      </c>
      <c r="Q34" s="87">
        <v>0</v>
      </c>
      <c r="R34" s="86">
        <f t="shared" ref="R34:R36" si="19">N34-O34+P34+Q34</f>
        <v>5013558</v>
      </c>
      <c r="S34" s="87">
        <f>506458.75+3085+606044+747221.3+696422.15+364900+407172.15</f>
        <v>3331303.35</v>
      </c>
      <c r="T34" s="88">
        <f>S34/R34</f>
        <v>0.66445892318389455</v>
      </c>
      <c r="U34" s="87">
        <f>467898.75+41645+273569+747221.3+1028897.15+364900+407172.15</f>
        <v>3331303.35</v>
      </c>
      <c r="V34" s="88">
        <f t="shared" ref="V34:V36" si="20">U34/R34</f>
        <v>0.66445892318389455</v>
      </c>
      <c r="W34" s="87">
        <f>466130+43413.75+265699+745291.3+1018927.15+359200.15+402897</f>
        <v>3301558.35</v>
      </c>
      <c r="X34" s="89">
        <f t="shared" ref="X34:X36" si="21">W34/R34</f>
        <v>0.65852601086892781</v>
      </c>
      <c r="Y34" s="65"/>
    </row>
    <row r="35" spans="1:25" s="90" customFormat="1" ht="39" customHeight="1" x14ac:dyDescent="0.2">
      <c r="A35" s="77" t="s">
        <v>46</v>
      </c>
      <c r="B35" s="78" t="s">
        <v>47</v>
      </c>
      <c r="C35" s="79" t="s">
        <v>51</v>
      </c>
      <c r="D35" s="80" t="s">
        <v>66</v>
      </c>
      <c r="E35" s="81" t="s">
        <v>49</v>
      </c>
      <c r="F35" s="82" t="s">
        <v>67</v>
      </c>
      <c r="G35" s="83">
        <v>1</v>
      </c>
      <c r="H35" s="79" t="s">
        <v>68</v>
      </c>
      <c r="I35" s="84" t="s">
        <v>69</v>
      </c>
      <c r="J35" s="85">
        <v>4</v>
      </c>
      <c r="K35" s="86">
        <v>552715</v>
      </c>
      <c r="L35" s="87">
        <v>0</v>
      </c>
      <c r="M35" s="87">
        <v>0</v>
      </c>
      <c r="N35" s="86">
        <f t="shared" si="18"/>
        <v>552715</v>
      </c>
      <c r="O35" s="87">
        <v>0</v>
      </c>
      <c r="P35" s="87">
        <v>0</v>
      </c>
      <c r="Q35" s="87">
        <v>0</v>
      </c>
      <c r="R35" s="86">
        <f t="shared" si="19"/>
        <v>552715</v>
      </c>
      <c r="S35" s="87">
        <v>0</v>
      </c>
      <c r="T35" s="88">
        <f t="shared" ref="T35:T36" si="22">S35/R35</f>
        <v>0</v>
      </c>
      <c r="U35" s="87">
        <v>0</v>
      </c>
      <c r="V35" s="88">
        <f t="shared" si="20"/>
        <v>0</v>
      </c>
      <c r="W35" s="87">
        <v>0</v>
      </c>
      <c r="X35" s="89">
        <f t="shared" si="21"/>
        <v>0</v>
      </c>
      <c r="Y35" s="65"/>
    </row>
    <row r="36" spans="1:25" s="90" customFormat="1" ht="39" customHeight="1" x14ac:dyDescent="0.2">
      <c r="A36" s="77" t="s">
        <v>46</v>
      </c>
      <c r="B36" s="78" t="s">
        <v>47</v>
      </c>
      <c r="C36" s="79" t="s">
        <v>51</v>
      </c>
      <c r="D36" s="80" t="s">
        <v>66</v>
      </c>
      <c r="E36" s="81" t="s">
        <v>49</v>
      </c>
      <c r="F36" s="82" t="s">
        <v>67</v>
      </c>
      <c r="G36" s="83">
        <v>1</v>
      </c>
      <c r="H36" s="79" t="s">
        <v>70</v>
      </c>
      <c r="I36" s="84" t="s">
        <v>71</v>
      </c>
      <c r="J36" s="85">
        <v>3</v>
      </c>
      <c r="K36" s="86">
        <v>0</v>
      </c>
      <c r="L36" s="87">
        <f>1729828</f>
        <v>1729828</v>
      </c>
      <c r="M36" s="87">
        <v>0</v>
      </c>
      <c r="N36" s="86">
        <f t="shared" si="18"/>
        <v>1729828</v>
      </c>
      <c r="O36" s="87">
        <f>1729828-15030</f>
        <v>1714798</v>
      </c>
      <c r="P36" s="87">
        <v>0</v>
      </c>
      <c r="Q36" s="87">
        <v>0</v>
      </c>
      <c r="R36" s="86">
        <f t="shared" si="19"/>
        <v>15030</v>
      </c>
      <c r="S36" s="87">
        <f>10670</f>
        <v>10670</v>
      </c>
      <c r="T36" s="88">
        <f t="shared" si="22"/>
        <v>0.70991350632069194</v>
      </c>
      <c r="U36" s="87">
        <f>10670</f>
        <v>10670</v>
      </c>
      <c r="V36" s="88">
        <f t="shared" si="20"/>
        <v>0.70991350632069194</v>
      </c>
      <c r="W36" s="87">
        <f>10670</f>
        <v>10670</v>
      </c>
      <c r="X36" s="89">
        <f t="shared" si="21"/>
        <v>0.70991350632069194</v>
      </c>
      <c r="Y36" s="65"/>
    </row>
    <row r="37" spans="1:25" s="65" customFormat="1" ht="9" customHeight="1" x14ac:dyDescent="0.2">
      <c r="A37" s="91"/>
      <c r="B37" s="92"/>
      <c r="C37" s="93"/>
      <c r="D37" s="94"/>
      <c r="E37" s="95"/>
      <c r="F37" s="96"/>
      <c r="G37" s="97"/>
      <c r="H37" s="93"/>
      <c r="I37" s="98"/>
      <c r="J37" s="99"/>
      <c r="K37" s="100"/>
      <c r="L37" s="101"/>
      <c r="M37" s="101"/>
      <c r="N37" s="100"/>
      <c r="O37" s="101"/>
      <c r="P37" s="101"/>
      <c r="Q37" s="101"/>
      <c r="R37" s="100"/>
      <c r="S37" s="101"/>
      <c r="T37" s="102"/>
      <c r="U37" s="101"/>
      <c r="V37" s="102"/>
      <c r="W37" s="101"/>
      <c r="X37" s="103"/>
    </row>
    <row r="38" spans="1:25" s="76" customFormat="1" ht="39" customHeight="1" x14ac:dyDescent="0.2">
      <c r="A38" s="104" t="s">
        <v>46</v>
      </c>
      <c r="B38" s="105" t="s">
        <v>47</v>
      </c>
      <c r="C38" s="106"/>
      <c r="D38" s="107" t="s">
        <v>72</v>
      </c>
      <c r="E38" s="108" t="s">
        <v>73</v>
      </c>
      <c r="F38" s="105" t="s">
        <v>74</v>
      </c>
      <c r="G38" s="109"/>
      <c r="H38" s="109"/>
      <c r="I38" s="109"/>
      <c r="J38" s="106"/>
      <c r="K38" s="110">
        <f>SUM(K39:K42)</f>
        <v>515820665</v>
      </c>
      <c r="L38" s="110">
        <f>SUM(L39:L42)</f>
        <v>22880454</v>
      </c>
      <c r="M38" s="110">
        <f t="shared" ref="M38:S38" si="23">SUM(M39:M42)</f>
        <v>5400000</v>
      </c>
      <c r="N38" s="110">
        <f t="shared" si="23"/>
        <v>533301119</v>
      </c>
      <c r="O38" s="110">
        <f t="shared" si="23"/>
        <v>5290454</v>
      </c>
      <c r="P38" s="110">
        <f t="shared" si="23"/>
        <v>0</v>
      </c>
      <c r="Q38" s="110">
        <f t="shared" si="23"/>
        <v>0</v>
      </c>
      <c r="R38" s="110">
        <f t="shared" si="23"/>
        <v>528010665</v>
      </c>
      <c r="S38" s="110">
        <f t="shared" si="23"/>
        <v>399279044.63999993</v>
      </c>
      <c r="T38" s="111">
        <f t="shared" ref="T38:T42" si="24">S38/R38</f>
        <v>0.75619503753773598</v>
      </c>
      <c r="U38" s="110">
        <f>SUM(U39:U42)</f>
        <v>398293947.92999995</v>
      </c>
      <c r="V38" s="111">
        <f>U38/R38</f>
        <v>0.75432936175635756</v>
      </c>
      <c r="W38" s="110">
        <f>SUM(W39:W42)</f>
        <v>392254000.25</v>
      </c>
      <c r="X38" s="112">
        <f>W38/R38</f>
        <v>0.74289029796396255</v>
      </c>
      <c r="Y38" s="75"/>
    </row>
    <row r="39" spans="1:25" s="90" customFormat="1" ht="39" customHeight="1" x14ac:dyDescent="0.2">
      <c r="A39" s="77" t="s">
        <v>46</v>
      </c>
      <c r="B39" s="78" t="s">
        <v>47</v>
      </c>
      <c r="C39" s="79" t="s">
        <v>75</v>
      </c>
      <c r="D39" s="80" t="s">
        <v>72</v>
      </c>
      <c r="E39" s="81" t="s">
        <v>73</v>
      </c>
      <c r="F39" s="82" t="s">
        <v>74</v>
      </c>
      <c r="G39" s="83">
        <v>1</v>
      </c>
      <c r="H39" s="79" t="s">
        <v>52</v>
      </c>
      <c r="I39" s="84" t="s">
        <v>53</v>
      </c>
      <c r="J39" s="85">
        <v>1</v>
      </c>
      <c r="K39" s="86">
        <v>514192235</v>
      </c>
      <c r="L39" s="87">
        <f>16650000</f>
        <v>16650000</v>
      </c>
      <c r="M39" s="87">
        <f>5400000</f>
        <v>5400000</v>
      </c>
      <c r="N39" s="86">
        <f t="shared" si="1"/>
        <v>525442235</v>
      </c>
      <c r="O39" s="87">
        <v>0</v>
      </c>
      <c r="P39" s="87">
        <v>0</v>
      </c>
      <c r="Q39" s="87">
        <v>0</v>
      </c>
      <c r="R39" s="86">
        <f t="shared" si="2"/>
        <v>525442235</v>
      </c>
      <c r="S39" s="87">
        <f>37316995.93+34093727.91+9327219.26+8800.45+116455188.9+35306274.35+40036256.9+33641461.65+50155806.77+40630327.34</f>
        <v>396972059.45999992</v>
      </c>
      <c r="T39" s="88">
        <f t="shared" si="24"/>
        <v>0.75550085816759649</v>
      </c>
      <c r="U39" s="87">
        <f>37316995.93+1459722.32+33949261.77+7900331.46+100537820.48+37510677.54+53698495.66+33196175.38+50141647.23+40294338.58</f>
        <v>396005466.34999996</v>
      </c>
      <c r="V39" s="88">
        <f t="shared" ref="V39:V106" si="25">U39/R39</f>
        <v>0.75366127800898985</v>
      </c>
      <c r="W39" s="87">
        <f>13465831.99+25238122.48+29090359.04+7900331.46+98935027.99+43960361.98+48906278.61+34473139.42+47686798.91+40309266.79</f>
        <v>389965518.67000002</v>
      </c>
      <c r="X39" s="89">
        <f t="shared" ref="X39:X106" si="26">W39/R39</f>
        <v>0.74216629858465799</v>
      </c>
      <c r="Y39" s="65"/>
    </row>
    <row r="40" spans="1:25" s="90" customFormat="1" ht="39" customHeight="1" x14ac:dyDescent="0.2">
      <c r="A40" s="77" t="s">
        <v>46</v>
      </c>
      <c r="B40" s="78" t="s">
        <v>47</v>
      </c>
      <c r="C40" s="79" t="s">
        <v>75</v>
      </c>
      <c r="D40" s="80" t="s">
        <v>72</v>
      </c>
      <c r="E40" s="81" t="s">
        <v>73</v>
      </c>
      <c r="F40" s="82" t="s">
        <v>74</v>
      </c>
      <c r="G40" s="83">
        <v>1</v>
      </c>
      <c r="H40" s="79" t="s">
        <v>52</v>
      </c>
      <c r="I40" s="84" t="s">
        <v>53</v>
      </c>
      <c r="J40" s="85">
        <v>3</v>
      </c>
      <c r="K40" s="86">
        <v>513870</v>
      </c>
      <c r="L40" s="87">
        <f>80000</f>
        <v>80000</v>
      </c>
      <c r="M40" s="87">
        <v>0</v>
      </c>
      <c r="N40" s="86">
        <f t="shared" si="1"/>
        <v>593870</v>
      </c>
      <c r="O40" s="87">
        <v>0</v>
      </c>
      <c r="P40" s="87">
        <v>0</v>
      </c>
      <c r="Q40" s="87">
        <v>0</v>
      </c>
      <c r="R40" s="86">
        <f t="shared" si="2"/>
        <v>593870</v>
      </c>
      <c r="S40" s="87">
        <f>8189+77119.84+25602.5+10450+168797.53+12540+106845.68+11575</f>
        <v>421119.55</v>
      </c>
      <c r="T40" s="88">
        <f t="shared" si="24"/>
        <v>0.70911066395002276</v>
      </c>
      <c r="U40" s="87">
        <f>8189+67714.84+9405+25602.5+10450+168797.53+12540+88342.08+11575</f>
        <v>402615.95</v>
      </c>
      <c r="V40" s="88">
        <f t="shared" si="25"/>
        <v>0.67795300318251472</v>
      </c>
      <c r="W40" s="87">
        <f>55966.92+29341.92+25602.5+10450+8360+172977.53+88342.08+11575</f>
        <v>402615.95</v>
      </c>
      <c r="X40" s="89">
        <f t="shared" si="26"/>
        <v>0.67795300318251472</v>
      </c>
      <c r="Y40" s="65"/>
    </row>
    <row r="41" spans="1:25" s="90" customFormat="1" ht="39" customHeight="1" x14ac:dyDescent="0.2">
      <c r="A41" s="77" t="s">
        <v>46</v>
      </c>
      <c r="B41" s="78" t="s">
        <v>47</v>
      </c>
      <c r="C41" s="79" t="s">
        <v>75</v>
      </c>
      <c r="D41" s="80" t="s">
        <v>72</v>
      </c>
      <c r="E41" s="81" t="s">
        <v>73</v>
      </c>
      <c r="F41" s="82" t="s">
        <v>74</v>
      </c>
      <c r="G41" s="83">
        <v>1</v>
      </c>
      <c r="H41" s="79" t="s">
        <v>76</v>
      </c>
      <c r="I41" s="84" t="s">
        <v>77</v>
      </c>
      <c r="J41" s="85">
        <v>1</v>
      </c>
      <c r="K41" s="86">
        <v>1114560</v>
      </c>
      <c r="L41" s="87">
        <v>0</v>
      </c>
      <c r="M41" s="87">
        <v>0</v>
      </c>
      <c r="N41" s="86">
        <f t="shared" si="1"/>
        <v>1114560</v>
      </c>
      <c r="O41" s="87">
        <f>500000</f>
        <v>500000</v>
      </c>
      <c r="P41" s="87">
        <v>0</v>
      </c>
      <c r="Q41" s="87">
        <v>0</v>
      </c>
      <c r="R41" s="86">
        <f t="shared" si="2"/>
        <v>614560</v>
      </c>
      <c r="S41" s="87">
        <f>116943.31+44265.14+136464.75+25072.97+18749.57+179407.77+6827.06</f>
        <v>527730.57000000007</v>
      </c>
      <c r="T41" s="88">
        <f t="shared" si="24"/>
        <v>0.85871285147097121</v>
      </c>
      <c r="U41" s="87">
        <f>26321.32+134887.13+136464.75+25072.97+18749.57+179407.77+6827.06</f>
        <v>527730.57000000007</v>
      </c>
      <c r="V41" s="88">
        <f t="shared" si="25"/>
        <v>0.85871285147097121</v>
      </c>
      <c r="W41" s="87">
        <f>15983.68+145224.77+136464.75+25072.97+18749.57+21844.13+164390.7</f>
        <v>527730.56999999995</v>
      </c>
      <c r="X41" s="89">
        <f t="shared" si="26"/>
        <v>0.85871285147097098</v>
      </c>
      <c r="Y41" s="65"/>
    </row>
    <row r="42" spans="1:25" s="90" customFormat="1" ht="39" customHeight="1" x14ac:dyDescent="0.2">
      <c r="A42" s="77" t="s">
        <v>46</v>
      </c>
      <c r="B42" s="78" t="s">
        <v>47</v>
      </c>
      <c r="C42" s="79" t="s">
        <v>75</v>
      </c>
      <c r="D42" s="80" t="s">
        <v>72</v>
      </c>
      <c r="E42" s="81" t="s">
        <v>73</v>
      </c>
      <c r="F42" s="82" t="s">
        <v>74</v>
      </c>
      <c r="G42" s="83">
        <v>1</v>
      </c>
      <c r="H42" s="113" t="s">
        <v>61</v>
      </c>
      <c r="I42" s="114" t="s">
        <v>62</v>
      </c>
      <c r="J42" s="85">
        <v>1</v>
      </c>
      <c r="K42" s="86">
        <v>0</v>
      </c>
      <c r="L42" s="87">
        <f>150454+6000000</f>
        <v>6150454</v>
      </c>
      <c r="M42" s="87">
        <v>0</v>
      </c>
      <c r="N42" s="86">
        <f t="shared" si="1"/>
        <v>6150454</v>
      </c>
      <c r="O42" s="87">
        <f>6150454-1360000</f>
        <v>4790454</v>
      </c>
      <c r="P42" s="87">
        <v>0</v>
      </c>
      <c r="Q42" s="87">
        <v>0</v>
      </c>
      <c r="R42" s="86">
        <f t="shared" si="2"/>
        <v>1360000</v>
      </c>
      <c r="S42" s="87">
        <f>1358135.06</f>
        <v>1358135.06</v>
      </c>
      <c r="T42" s="88">
        <f t="shared" si="24"/>
        <v>0.99862872058823537</v>
      </c>
      <c r="U42" s="87">
        <f>1358135.06</f>
        <v>1358135.06</v>
      </c>
      <c r="V42" s="88">
        <f t="shared" si="25"/>
        <v>0.99862872058823537</v>
      </c>
      <c r="W42" s="87">
        <f>1358135.06</f>
        <v>1358135.06</v>
      </c>
      <c r="X42" s="89">
        <f t="shared" si="26"/>
        <v>0.99862872058823537</v>
      </c>
      <c r="Y42" s="65"/>
    </row>
    <row r="43" spans="1:25" s="65" customFormat="1" ht="9" customHeight="1" x14ac:dyDescent="0.2">
      <c r="A43" s="91"/>
      <c r="B43" s="92"/>
      <c r="C43" s="93"/>
      <c r="D43" s="94"/>
      <c r="E43" s="95"/>
      <c r="F43" s="96"/>
      <c r="G43" s="97"/>
      <c r="H43" s="93"/>
      <c r="I43" s="98"/>
      <c r="J43" s="99"/>
      <c r="K43" s="100"/>
      <c r="L43" s="101"/>
      <c r="M43" s="101"/>
      <c r="N43" s="100"/>
      <c r="O43" s="101"/>
      <c r="P43" s="101"/>
      <c r="Q43" s="101"/>
      <c r="R43" s="100"/>
      <c r="S43" s="101"/>
      <c r="T43" s="102"/>
      <c r="U43" s="101"/>
      <c r="V43" s="102"/>
      <c r="W43" s="101"/>
      <c r="X43" s="103"/>
    </row>
    <row r="44" spans="1:25" s="76" customFormat="1" ht="39" customHeight="1" x14ac:dyDescent="0.2">
      <c r="A44" s="104" t="s">
        <v>46</v>
      </c>
      <c r="B44" s="105" t="s">
        <v>47</v>
      </c>
      <c r="C44" s="106"/>
      <c r="D44" s="107" t="s">
        <v>78</v>
      </c>
      <c r="E44" s="108" t="s">
        <v>73</v>
      </c>
      <c r="F44" s="105" t="s">
        <v>79</v>
      </c>
      <c r="G44" s="109"/>
      <c r="H44" s="109"/>
      <c r="I44" s="109"/>
      <c r="J44" s="106"/>
      <c r="K44" s="110">
        <f>SUM(K45:K47)</f>
        <v>73116327</v>
      </c>
      <c r="L44" s="110">
        <f>SUM(L45:L47)</f>
        <v>1800000</v>
      </c>
      <c r="M44" s="110">
        <f t="shared" ref="M44:S44" si="27">SUM(M45:M47)</f>
        <v>0</v>
      </c>
      <c r="N44" s="110">
        <f t="shared" si="27"/>
        <v>74916327</v>
      </c>
      <c r="O44" s="110">
        <f t="shared" si="27"/>
        <v>0</v>
      </c>
      <c r="P44" s="110">
        <f t="shared" si="27"/>
        <v>0</v>
      </c>
      <c r="Q44" s="110">
        <f t="shared" si="27"/>
        <v>0</v>
      </c>
      <c r="R44" s="110">
        <f t="shared" si="27"/>
        <v>74916327</v>
      </c>
      <c r="S44" s="110">
        <f t="shared" si="27"/>
        <v>55964854.589999996</v>
      </c>
      <c r="T44" s="111">
        <f>S44/R44</f>
        <v>0.7470314793996774</v>
      </c>
      <c r="U44" s="110">
        <f>SUM(U45:U47)</f>
        <v>55964854.589999996</v>
      </c>
      <c r="V44" s="111">
        <f>U44/R44</f>
        <v>0.7470314793996774</v>
      </c>
      <c r="W44" s="110">
        <f>SUM(W45:W47)</f>
        <v>55485245.180000007</v>
      </c>
      <c r="X44" s="112">
        <f>W44/R44</f>
        <v>0.74062954501226419</v>
      </c>
      <c r="Y44" s="75"/>
    </row>
    <row r="45" spans="1:25" s="90" customFormat="1" ht="39" customHeight="1" x14ac:dyDescent="0.2">
      <c r="A45" s="77" t="s">
        <v>46</v>
      </c>
      <c r="B45" s="78" t="s">
        <v>47</v>
      </c>
      <c r="C45" s="79" t="s">
        <v>75</v>
      </c>
      <c r="D45" s="80" t="s">
        <v>78</v>
      </c>
      <c r="E45" s="81" t="s">
        <v>73</v>
      </c>
      <c r="F45" s="82" t="s">
        <v>79</v>
      </c>
      <c r="G45" s="83">
        <v>1</v>
      </c>
      <c r="H45" s="79" t="s">
        <v>52</v>
      </c>
      <c r="I45" s="84" t="s">
        <v>53</v>
      </c>
      <c r="J45" s="85">
        <v>1</v>
      </c>
      <c r="K45" s="86">
        <v>72612687</v>
      </c>
      <c r="L45" s="87">
        <f>1800000</f>
        <v>1800000</v>
      </c>
      <c r="M45" s="87">
        <v>0</v>
      </c>
      <c r="N45" s="86">
        <f t="shared" si="1"/>
        <v>74412687</v>
      </c>
      <c r="O45" s="87">
        <v>0</v>
      </c>
      <c r="P45" s="87">
        <v>0</v>
      </c>
      <c r="Q45" s="87">
        <v>0</v>
      </c>
      <c r="R45" s="86">
        <f t="shared" si="2"/>
        <v>74412687</v>
      </c>
      <c r="S45" s="87">
        <f>5472401.91+5105741.29+232501.33+16564046.54+5466133.71+5675285.94+5106838.7+6461865.14+5823255.77</f>
        <v>55908070.329999998</v>
      </c>
      <c r="T45" s="88">
        <f>S45/R45</f>
        <v>0.75132443920483616</v>
      </c>
      <c r="U45" s="87">
        <f>5472401.91+5105741.29+232501.33+15434395.14+5752354.12+6318218.2+5307337.43+6461865.14+5823255.77</f>
        <v>55908070.329999998</v>
      </c>
      <c r="V45" s="88">
        <f t="shared" si="25"/>
        <v>0.75132443920483616</v>
      </c>
      <c r="W45" s="87">
        <f>1919851.21+3552550.7+4905242.56+232501.33+15634893.87+5398149.35+6302144.73+5381583.13+6284044.16+5817499.88</f>
        <v>55428460.920000009</v>
      </c>
      <c r="X45" s="89">
        <f t="shared" si="26"/>
        <v>0.74487917524064151</v>
      </c>
      <c r="Y45" s="65"/>
    </row>
    <row r="46" spans="1:25" s="90" customFormat="1" ht="39" customHeight="1" x14ac:dyDescent="0.2">
      <c r="A46" s="77" t="s">
        <v>46</v>
      </c>
      <c r="B46" s="78" t="s">
        <v>47</v>
      </c>
      <c r="C46" s="79" t="s">
        <v>75</v>
      </c>
      <c r="D46" s="80" t="s">
        <v>78</v>
      </c>
      <c r="E46" s="81" t="s">
        <v>73</v>
      </c>
      <c r="F46" s="82" t="s">
        <v>79</v>
      </c>
      <c r="G46" s="83">
        <v>1</v>
      </c>
      <c r="H46" s="79" t="s">
        <v>52</v>
      </c>
      <c r="I46" s="84" t="s">
        <v>53</v>
      </c>
      <c r="J46" s="85">
        <v>3</v>
      </c>
      <c r="K46" s="86">
        <v>52000</v>
      </c>
      <c r="L46" s="87">
        <v>0</v>
      </c>
      <c r="M46" s="87">
        <v>0</v>
      </c>
      <c r="N46" s="86">
        <f t="shared" si="1"/>
        <v>52000</v>
      </c>
      <c r="O46" s="87">
        <v>0</v>
      </c>
      <c r="P46" s="87">
        <v>0</v>
      </c>
      <c r="Q46" s="87">
        <v>0</v>
      </c>
      <c r="R46" s="86">
        <f t="shared" si="2"/>
        <v>52000</v>
      </c>
      <c r="S46" s="87">
        <f>1039+1567.5+3135+1045+1045</f>
        <v>7831.5</v>
      </c>
      <c r="T46" s="88">
        <f>S46/R46</f>
        <v>0.15060576923076924</v>
      </c>
      <c r="U46" s="87">
        <f>1039+1567.5+3135+1045+1045</f>
        <v>7831.5</v>
      </c>
      <c r="V46" s="88">
        <f t="shared" si="25"/>
        <v>0.15060576923076924</v>
      </c>
      <c r="W46" s="87">
        <f>1039+1567.5+3135+1045+1045</f>
        <v>7831.5</v>
      </c>
      <c r="X46" s="89">
        <f t="shared" si="26"/>
        <v>0.15060576923076924</v>
      </c>
      <c r="Y46" s="65"/>
    </row>
    <row r="47" spans="1:25" s="90" customFormat="1" ht="39" customHeight="1" x14ac:dyDescent="0.2">
      <c r="A47" s="77" t="s">
        <v>46</v>
      </c>
      <c r="B47" s="78" t="s">
        <v>47</v>
      </c>
      <c r="C47" s="79" t="s">
        <v>75</v>
      </c>
      <c r="D47" s="80" t="s">
        <v>78</v>
      </c>
      <c r="E47" s="81" t="s">
        <v>73</v>
      </c>
      <c r="F47" s="82" t="s">
        <v>79</v>
      </c>
      <c r="G47" s="83">
        <v>1</v>
      </c>
      <c r="H47" s="79" t="s">
        <v>76</v>
      </c>
      <c r="I47" s="84" t="s">
        <v>77</v>
      </c>
      <c r="J47" s="85">
        <v>1</v>
      </c>
      <c r="K47" s="86">
        <v>451640</v>
      </c>
      <c r="L47" s="87">
        <v>0</v>
      </c>
      <c r="M47" s="87">
        <v>0</v>
      </c>
      <c r="N47" s="86">
        <f t="shared" si="1"/>
        <v>451640</v>
      </c>
      <c r="O47" s="87">
        <v>0</v>
      </c>
      <c r="P47" s="87">
        <v>0</v>
      </c>
      <c r="Q47" s="87">
        <v>0</v>
      </c>
      <c r="R47" s="86">
        <f t="shared" si="2"/>
        <v>451640</v>
      </c>
      <c r="S47" s="87">
        <f>13305.23+4949.49+30698.04</f>
        <v>48952.76</v>
      </c>
      <c r="T47" s="88">
        <f>S47/R47</f>
        <v>0.10838889380922859</v>
      </c>
      <c r="U47" s="87">
        <f>13305.23+4949.49+30698.04</f>
        <v>48952.76</v>
      </c>
      <c r="V47" s="88">
        <f t="shared" si="25"/>
        <v>0.10838889380922859</v>
      </c>
      <c r="W47" s="87">
        <f>13305.23+4949.49+30698.04</f>
        <v>48952.76</v>
      </c>
      <c r="X47" s="89">
        <f t="shared" si="26"/>
        <v>0.10838889380922859</v>
      </c>
      <c r="Y47" s="65"/>
    </row>
    <row r="48" spans="1:25" s="65" customFormat="1" ht="9" customHeight="1" x14ac:dyDescent="0.2">
      <c r="A48" s="91"/>
      <c r="B48" s="92"/>
      <c r="C48" s="93"/>
      <c r="D48" s="94"/>
      <c r="E48" s="95"/>
      <c r="F48" s="96"/>
      <c r="G48" s="97"/>
      <c r="H48" s="93"/>
      <c r="I48" s="98"/>
      <c r="J48" s="99"/>
      <c r="K48" s="100"/>
      <c r="L48" s="101"/>
      <c r="M48" s="101"/>
      <c r="N48" s="100"/>
      <c r="O48" s="101"/>
      <c r="P48" s="101"/>
      <c r="Q48" s="101"/>
      <c r="R48" s="100"/>
      <c r="S48" s="101"/>
      <c r="T48" s="102"/>
      <c r="U48" s="101"/>
      <c r="V48" s="102"/>
      <c r="W48" s="101"/>
      <c r="X48" s="103"/>
    </row>
    <row r="49" spans="1:25" s="76" customFormat="1" ht="39" customHeight="1" x14ac:dyDescent="0.2">
      <c r="A49" s="104" t="s">
        <v>46</v>
      </c>
      <c r="B49" s="105" t="s">
        <v>47</v>
      </c>
      <c r="C49" s="106"/>
      <c r="D49" s="107" t="s">
        <v>80</v>
      </c>
      <c r="E49" s="108" t="s">
        <v>73</v>
      </c>
      <c r="F49" s="105" t="s">
        <v>81</v>
      </c>
      <c r="G49" s="109"/>
      <c r="H49" s="109"/>
      <c r="I49" s="109"/>
      <c r="J49" s="106"/>
      <c r="K49" s="110">
        <f>SUM(K50:K53)</f>
        <v>162493183</v>
      </c>
      <c r="L49" s="110">
        <f>SUM(L50:L53)</f>
        <v>3041702</v>
      </c>
      <c r="M49" s="110">
        <f t="shared" ref="M49:S49" si="28">SUM(M50:M53)</f>
        <v>450000</v>
      </c>
      <c r="N49" s="110">
        <f t="shared" si="28"/>
        <v>165084885</v>
      </c>
      <c r="O49" s="110">
        <f t="shared" si="28"/>
        <v>1121054.3799999999</v>
      </c>
      <c r="P49" s="110">
        <f t="shared" si="28"/>
        <v>0</v>
      </c>
      <c r="Q49" s="110">
        <f t="shared" si="28"/>
        <v>0</v>
      </c>
      <c r="R49" s="110">
        <f t="shared" si="28"/>
        <v>163963830.62</v>
      </c>
      <c r="S49" s="110">
        <f t="shared" si="28"/>
        <v>123473979.44000001</v>
      </c>
      <c r="T49" s="111">
        <f>S49/R49</f>
        <v>0.75305620131650475</v>
      </c>
      <c r="U49" s="110">
        <f>SUM(U50:U53)</f>
        <v>123035504.86</v>
      </c>
      <c r="V49" s="111">
        <f>U49/R49</f>
        <v>0.7503819860438925</v>
      </c>
      <c r="W49" s="110">
        <f>SUM(W50:W53)</f>
        <v>121494603.33000001</v>
      </c>
      <c r="X49" s="112">
        <f>W49/R49</f>
        <v>0.74098417236648972</v>
      </c>
      <c r="Y49" s="75"/>
    </row>
    <row r="50" spans="1:25" s="90" customFormat="1" ht="39" customHeight="1" x14ac:dyDescent="0.2">
      <c r="A50" s="77" t="s">
        <v>46</v>
      </c>
      <c r="B50" s="78" t="s">
        <v>47</v>
      </c>
      <c r="C50" s="79" t="s">
        <v>75</v>
      </c>
      <c r="D50" s="80" t="s">
        <v>80</v>
      </c>
      <c r="E50" s="81" t="s">
        <v>73</v>
      </c>
      <c r="F50" s="82" t="s">
        <v>82</v>
      </c>
      <c r="G50" s="83">
        <v>1</v>
      </c>
      <c r="H50" s="79" t="s">
        <v>52</v>
      </c>
      <c r="I50" s="84" t="s">
        <v>53</v>
      </c>
      <c r="J50" s="85">
        <v>1</v>
      </c>
      <c r="K50" s="86">
        <v>160130205</v>
      </c>
      <c r="L50" s="87">
        <f>2860000</f>
        <v>2860000</v>
      </c>
      <c r="M50" s="87">
        <f>450000</f>
        <v>450000</v>
      </c>
      <c r="N50" s="86">
        <f t="shared" si="1"/>
        <v>162540205</v>
      </c>
      <c r="O50" s="87">
        <v>0</v>
      </c>
      <c r="P50" s="87">
        <v>0</v>
      </c>
      <c r="Q50" s="87">
        <v>0</v>
      </c>
      <c r="R50" s="86">
        <f t="shared" si="2"/>
        <v>162540205</v>
      </c>
      <c r="S50" s="87">
        <f>11840816.54+10733506.07+1929419.61+1812.76+35111090.97+13421034.51+11664868.53+10520692.32+14572411.36+12448474.4</f>
        <v>122244127.07000001</v>
      </c>
      <c r="T50" s="88">
        <f>S50/R50</f>
        <v>0.75208547368326506</v>
      </c>
      <c r="U50" s="87">
        <f>11840816.54+42901.08+10471368.2+1711995.58+33062453.25+11608078.46+15420078.46+10627075.16+14527011+12493874.76</f>
        <v>121805652.48999999</v>
      </c>
      <c r="V50" s="88">
        <f t="shared" si="25"/>
        <v>0.74938783601263448</v>
      </c>
      <c r="W50" s="87">
        <f>4177170.82+7705227+10450135.04+1626835.32+33168837.09+11595323.73+14356430.51+10855800.39+14011435.02+12367396.25</f>
        <v>120314591.17</v>
      </c>
      <c r="X50" s="89">
        <f t="shared" si="26"/>
        <v>0.74021434370653094</v>
      </c>
      <c r="Y50" s="65"/>
    </row>
    <row r="51" spans="1:25" s="90" customFormat="1" ht="39" customHeight="1" x14ac:dyDescent="0.2">
      <c r="A51" s="77" t="s">
        <v>46</v>
      </c>
      <c r="B51" s="78" t="s">
        <v>47</v>
      </c>
      <c r="C51" s="79" t="s">
        <v>75</v>
      </c>
      <c r="D51" s="80" t="s">
        <v>80</v>
      </c>
      <c r="E51" s="81" t="s">
        <v>73</v>
      </c>
      <c r="F51" s="82" t="s">
        <v>82</v>
      </c>
      <c r="G51" s="83">
        <v>1</v>
      </c>
      <c r="H51" s="79" t="s">
        <v>52</v>
      </c>
      <c r="I51" s="84" t="s">
        <v>53</v>
      </c>
      <c r="J51" s="85">
        <v>3</v>
      </c>
      <c r="K51" s="86">
        <v>150000</v>
      </c>
      <c r="L51" s="87">
        <f>110000</f>
        <v>110000</v>
      </c>
      <c r="M51" s="87">
        <v>0</v>
      </c>
      <c r="N51" s="86">
        <f t="shared" si="1"/>
        <v>260000</v>
      </c>
      <c r="O51" s="87">
        <v>0</v>
      </c>
      <c r="P51" s="87">
        <v>0</v>
      </c>
      <c r="Q51" s="87">
        <v>0</v>
      </c>
      <c r="R51" s="86">
        <f t="shared" si="2"/>
        <v>260000</v>
      </c>
      <c r="S51" s="87">
        <f>29590.1+7315+39978.36+1045+2090+58951.8</f>
        <v>138970.26</v>
      </c>
      <c r="T51" s="88">
        <f>S51/R51</f>
        <v>0.534501</v>
      </c>
      <c r="U51" s="87">
        <f>27500.1+2090+7315+39978.36+1045+2090+58951.8</f>
        <v>138970.26</v>
      </c>
      <c r="V51" s="88">
        <f>U51/R51</f>
        <v>0.534501</v>
      </c>
      <c r="W51" s="87">
        <f>23850.86+2090+7315+39978.36+1045+2090+62601.04</f>
        <v>138970.26</v>
      </c>
      <c r="X51" s="89">
        <f t="shared" si="26"/>
        <v>0.534501</v>
      </c>
      <c r="Y51" s="65"/>
    </row>
    <row r="52" spans="1:25" s="90" customFormat="1" ht="39" customHeight="1" x14ac:dyDescent="0.2">
      <c r="A52" s="77" t="s">
        <v>46</v>
      </c>
      <c r="B52" s="78" t="s">
        <v>47</v>
      </c>
      <c r="C52" s="79" t="s">
        <v>75</v>
      </c>
      <c r="D52" s="80" t="s">
        <v>80</v>
      </c>
      <c r="E52" s="81" t="s">
        <v>73</v>
      </c>
      <c r="F52" s="82" t="s">
        <v>82</v>
      </c>
      <c r="G52" s="83">
        <v>1</v>
      </c>
      <c r="H52" s="79" t="s">
        <v>76</v>
      </c>
      <c r="I52" s="84" t="s">
        <v>77</v>
      </c>
      <c r="J52" s="85">
        <v>1</v>
      </c>
      <c r="K52" s="86">
        <v>2212978</v>
      </c>
      <c r="L52" s="87">
        <v>0</v>
      </c>
      <c r="M52" s="87">
        <v>0</v>
      </c>
      <c r="N52" s="86">
        <f t="shared" si="1"/>
        <v>2212978</v>
      </c>
      <c r="O52" s="87">
        <f>1062000</f>
        <v>1062000</v>
      </c>
      <c r="P52" s="87">
        <v>0</v>
      </c>
      <c r="Q52" s="87">
        <v>0</v>
      </c>
      <c r="R52" s="86">
        <f t="shared" si="2"/>
        <v>1150978</v>
      </c>
      <c r="S52" s="87">
        <f>192157.01+185385.5+224127.13+15822.94+155529.55+23623.66+118310.76+175925.56</f>
        <v>1090882.1099999999</v>
      </c>
      <c r="T52" s="88">
        <f>S52/R52</f>
        <v>0.94778710800727717</v>
      </c>
      <c r="U52" s="87">
        <f>160163.91+31993.1+185385.5+83363.58+156586.49+118004.45+61148.76+118310.76+175925.56</f>
        <v>1090882.1100000001</v>
      </c>
      <c r="V52" s="88">
        <f>U52/R52</f>
        <v>0.94778710800727739</v>
      </c>
      <c r="W52" s="87">
        <f>130122.6+62034.41+36381.89+83363.58+52204.83+322285.14+72784.75+281864.7</f>
        <v>1041041.9000000001</v>
      </c>
      <c r="X52" s="89">
        <f t="shared" si="26"/>
        <v>0.90448462090500437</v>
      </c>
      <c r="Y52" s="65"/>
    </row>
    <row r="53" spans="1:25" s="90" customFormat="1" ht="39" customHeight="1" x14ac:dyDescent="0.2">
      <c r="A53" s="77" t="s">
        <v>46</v>
      </c>
      <c r="B53" s="78" t="s">
        <v>47</v>
      </c>
      <c r="C53" s="79" t="s">
        <v>75</v>
      </c>
      <c r="D53" s="80" t="s">
        <v>80</v>
      </c>
      <c r="E53" s="81" t="s">
        <v>73</v>
      </c>
      <c r="F53" s="82" t="s">
        <v>82</v>
      </c>
      <c r="G53" s="83">
        <v>1</v>
      </c>
      <c r="H53" s="113" t="s">
        <v>61</v>
      </c>
      <c r="I53" s="114" t="s">
        <v>62</v>
      </c>
      <c r="J53" s="85">
        <v>1</v>
      </c>
      <c r="K53" s="86">
        <v>0</v>
      </c>
      <c r="L53" s="87">
        <f>71702</f>
        <v>71702</v>
      </c>
      <c r="M53" s="87">
        <v>0</v>
      </c>
      <c r="N53" s="86">
        <f t="shared" si="1"/>
        <v>71702</v>
      </c>
      <c r="O53" s="87">
        <f>71702-12647.62</f>
        <v>59054.38</v>
      </c>
      <c r="P53" s="87">
        <v>0</v>
      </c>
      <c r="Q53" s="87">
        <v>0</v>
      </c>
      <c r="R53" s="86">
        <f t="shared" si="2"/>
        <v>12647.620000000003</v>
      </c>
      <c r="S53" s="87">
        <v>0</v>
      </c>
      <c r="T53" s="88">
        <f>S53/R53</f>
        <v>0</v>
      </c>
      <c r="U53" s="87">
        <v>0</v>
      </c>
      <c r="V53" s="88">
        <f>U53/R53</f>
        <v>0</v>
      </c>
      <c r="W53" s="87">
        <v>0</v>
      </c>
      <c r="X53" s="89">
        <f t="shared" si="26"/>
        <v>0</v>
      </c>
      <c r="Y53" s="65"/>
    </row>
    <row r="54" spans="1:25" s="65" customFormat="1" ht="9" customHeight="1" x14ac:dyDescent="0.2">
      <c r="A54" s="91"/>
      <c r="B54" s="92"/>
      <c r="C54" s="93"/>
      <c r="D54" s="94"/>
      <c r="E54" s="95"/>
      <c r="F54" s="96"/>
      <c r="G54" s="97"/>
      <c r="H54" s="93"/>
      <c r="I54" s="98"/>
      <c r="J54" s="99"/>
      <c r="K54" s="100"/>
      <c r="L54" s="101"/>
      <c r="M54" s="101"/>
      <c r="N54" s="100"/>
      <c r="O54" s="101"/>
      <c r="P54" s="101"/>
      <c r="Q54" s="101"/>
      <c r="R54" s="100"/>
      <c r="S54" s="101"/>
      <c r="T54" s="102"/>
      <c r="U54" s="101"/>
      <c r="V54" s="102"/>
      <c r="W54" s="101"/>
      <c r="X54" s="103"/>
    </row>
    <row r="55" spans="1:25" s="76" customFormat="1" ht="39" customHeight="1" x14ac:dyDescent="0.2">
      <c r="A55" s="104" t="s">
        <v>46</v>
      </c>
      <c r="B55" s="105" t="s">
        <v>47</v>
      </c>
      <c r="C55" s="106"/>
      <c r="D55" s="107" t="s">
        <v>83</v>
      </c>
      <c r="E55" s="108" t="s">
        <v>73</v>
      </c>
      <c r="F55" s="105" t="s">
        <v>84</v>
      </c>
      <c r="G55" s="109"/>
      <c r="H55" s="109"/>
      <c r="I55" s="109"/>
      <c r="J55" s="106"/>
      <c r="K55" s="110">
        <f>SUM(K56:K60)</f>
        <v>190954089</v>
      </c>
      <c r="L55" s="110">
        <f>SUM(L56:L60)</f>
        <v>16607824</v>
      </c>
      <c r="M55" s="110">
        <f t="shared" ref="M55:S55" si="29">SUM(M56:M60)</f>
        <v>25680000</v>
      </c>
      <c r="N55" s="110">
        <f t="shared" si="29"/>
        <v>181881913</v>
      </c>
      <c r="O55" s="110">
        <f t="shared" si="29"/>
        <v>0</v>
      </c>
      <c r="P55" s="110">
        <f t="shared" si="29"/>
        <v>0</v>
      </c>
      <c r="Q55" s="110">
        <f t="shared" si="29"/>
        <v>0</v>
      </c>
      <c r="R55" s="110">
        <f t="shared" si="29"/>
        <v>181881913</v>
      </c>
      <c r="S55" s="110">
        <f t="shared" si="29"/>
        <v>132922165.50000001</v>
      </c>
      <c r="T55" s="111">
        <f t="shared" ref="T55:T60" si="30">S55/R55</f>
        <v>0.730815743619323</v>
      </c>
      <c r="U55" s="110">
        <f>SUM(U56:U60)</f>
        <v>132443869.38000001</v>
      </c>
      <c r="V55" s="111">
        <f>U55/R55</f>
        <v>0.7281860367281271</v>
      </c>
      <c r="W55" s="110">
        <f>SUM(W56:W60)</f>
        <v>130153943.26000002</v>
      </c>
      <c r="X55" s="112">
        <f>W55/R55</f>
        <v>0.7155958561970921</v>
      </c>
      <c r="Y55" s="75"/>
    </row>
    <row r="56" spans="1:25" s="90" customFormat="1" ht="39" customHeight="1" x14ac:dyDescent="0.2">
      <c r="A56" s="77" t="s">
        <v>46</v>
      </c>
      <c r="B56" s="78" t="s">
        <v>47</v>
      </c>
      <c r="C56" s="79" t="s">
        <v>75</v>
      </c>
      <c r="D56" s="80" t="s">
        <v>83</v>
      </c>
      <c r="E56" s="81" t="s">
        <v>73</v>
      </c>
      <c r="F56" s="82" t="s">
        <v>84</v>
      </c>
      <c r="G56" s="83">
        <v>1</v>
      </c>
      <c r="H56" s="79" t="s">
        <v>52</v>
      </c>
      <c r="I56" s="84" t="s">
        <v>53</v>
      </c>
      <c r="J56" s="85">
        <v>1</v>
      </c>
      <c r="K56" s="86">
        <v>190516867</v>
      </c>
      <c r="L56" s="87">
        <f>1700000</f>
        <v>1700000</v>
      </c>
      <c r="M56" s="87">
        <f>13280000</f>
        <v>13280000</v>
      </c>
      <c r="N56" s="86">
        <f t="shared" si="1"/>
        <v>178936867</v>
      </c>
      <c r="O56" s="87">
        <v>0</v>
      </c>
      <c r="P56" s="87">
        <v>0</v>
      </c>
      <c r="Q56" s="87">
        <v>0</v>
      </c>
      <c r="R56" s="86">
        <f t="shared" si="2"/>
        <v>178936867</v>
      </c>
      <c r="S56" s="87">
        <f>13529418.24+11968557.53+3277018.91+42927092.89+9448425.96+13097780.2+6394108.19+17268782.32+14103100.76</f>
        <v>132014285.00000001</v>
      </c>
      <c r="T56" s="88">
        <f t="shared" si="30"/>
        <v>0.73777018237387615</v>
      </c>
      <c r="U56" s="87">
        <f>13529418.24+202844.32+11867135.37+2902623.24+36613932.13+7457522.87+16025772.42+11393305.86+17440333.67+14103100.76</f>
        <v>131535988.88000001</v>
      </c>
      <c r="V56" s="88">
        <f>U56/R56</f>
        <v>0.73509719425231701</v>
      </c>
      <c r="W56" s="87">
        <f>4894702.37+8837560.19+11867135.37+2902623.24+27380213.58+14610784.25+16313856.96+11731631.9+16609974.93+14097579.97</f>
        <v>129246062.76000002</v>
      </c>
      <c r="X56" s="89">
        <f t="shared" si="26"/>
        <v>0.72229979727989768</v>
      </c>
      <c r="Y56" s="65"/>
    </row>
    <row r="57" spans="1:25" s="90" customFormat="1" ht="39" customHeight="1" x14ac:dyDescent="0.2">
      <c r="A57" s="77" t="s">
        <v>46</v>
      </c>
      <c r="B57" s="78" t="s">
        <v>47</v>
      </c>
      <c r="C57" s="79" t="s">
        <v>75</v>
      </c>
      <c r="D57" s="80" t="s">
        <v>83</v>
      </c>
      <c r="E57" s="81" t="s">
        <v>73</v>
      </c>
      <c r="F57" s="82" t="s">
        <v>84</v>
      </c>
      <c r="G57" s="83">
        <v>1</v>
      </c>
      <c r="H57" s="79" t="s">
        <v>52</v>
      </c>
      <c r="I57" s="84" t="s">
        <v>53</v>
      </c>
      <c r="J57" s="85">
        <v>3</v>
      </c>
      <c r="K57" s="86">
        <v>30000</v>
      </c>
      <c r="L57" s="87">
        <v>0</v>
      </c>
      <c r="M57" s="87">
        <v>0</v>
      </c>
      <c r="N57" s="86">
        <f t="shared" si="1"/>
        <v>30000</v>
      </c>
      <c r="O57" s="87">
        <v>0</v>
      </c>
      <c r="P57" s="87">
        <v>0</v>
      </c>
      <c r="Q57" s="87">
        <v>0</v>
      </c>
      <c r="R57" s="86">
        <f t="shared" si="2"/>
        <v>30000</v>
      </c>
      <c r="S57" s="87">
        <f>25389.44</f>
        <v>25389.439999999999</v>
      </c>
      <c r="T57" s="88">
        <f t="shared" si="30"/>
        <v>0.84631466666666666</v>
      </c>
      <c r="U57" s="87">
        <f>25389.44</f>
        <v>25389.439999999999</v>
      </c>
      <c r="V57" s="88">
        <f t="shared" si="25"/>
        <v>0.84631466666666666</v>
      </c>
      <c r="W57" s="87">
        <f>25389.44</f>
        <v>25389.439999999999</v>
      </c>
      <c r="X57" s="89">
        <f t="shared" si="26"/>
        <v>0.84631466666666666</v>
      </c>
      <c r="Y57" s="65"/>
    </row>
    <row r="58" spans="1:25" s="90" customFormat="1" ht="39" customHeight="1" x14ac:dyDescent="0.2">
      <c r="A58" s="77" t="s">
        <v>46</v>
      </c>
      <c r="B58" s="78" t="s">
        <v>47</v>
      </c>
      <c r="C58" s="79" t="s">
        <v>75</v>
      </c>
      <c r="D58" s="80" t="s">
        <v>83</v>
      </c>
      <c r="E58" s="81" t="s">
        <v>73</v>
      </c>
      <c r="F58" s="82" t="s">
        <v>84</v>
      </c>
      <c r="G58" s="83">
        <v>1</v>
      </c>
      <c r="H58" s="79" t="s">
        <v>76</v>
      </c>
      <c r="I58" s="84" t="s">
        <v>77</v>
      </c>
      <c r="J58" s="85">
        <v>1</v>
      </c>
      <c r="K58" s="86">
        <v>407222</v>
      </c>
      <c r="L58" s="87">
        <v>0</v>
      </c>
      <c r="M58" s="87">
        <v>0</v>
      </c>
      <c r="N58" s="86">
        <f t="shared" si="1"/>
        <v>407222</v>
      </c>
      <c r="O58" s="87">
        <v>0</v>
      </c>
      <c r="P58" s="87">
        <v>0</v>
      </c>
      <c r="Q58" s="87">
        <v>0</v>
      </c>
      <c r="R58" s="86">
        <f t="shared" si="2"/>
        <v>407222</v>
      </c>
      <c r="S58" s="87">
        <f>46313.74+138214.01</f>
        <v>184527.75</v>
      </c>
      <c r="T58" s="88">
        <f t="shared" si="30"/>
        <v>0.45313796897024228</v>
      </c>
      <c r="U58" s="87">
        <f>46313.74+138214.01</f>
        <v>184527.75</v>
      </c>
      <c r="V58" s="88">
        <f t="shared" si="25"/>
        <v>0.45313796897024228</v>
      </c>
      <c r="W58" s="87">
        <f>46313.74+138214.01</f>
        <v>184527.75</v>
      </c>
      <c r="X58" s="89">
        <f t="shared" si="26"/>
        <v>0.45313796897024228</v>
      </c>
      <c r="Y58" s="65"/>
    </row>
    <row r="59" spans="1:25" s="90" customFormat="1" ht="39" customHeight="1" x14ac:dyDescent="0.2">
      <c r="A59" s="77" t="s">
        <v>46</v>
      </c>
      <c r="B59" s="78" t="s">
        <v>47</v>
      </c>
      <c r="C59" s="79" t="s">
        <v>75</v>
      </c>
      <c r="D59" s="80" t="s">
        <v>83</v>
      </c>
      <c r="E59" s="81" t="s">
        <v>73</v>
      </c>
      <c r="F59" s="82" t="s">
        <v>84</v>
      </c>
      <c r="G59" s="83">
        <v>1</v>
      </c>
      <c r="H59" s="113" t="s">
        <v>61</v>
      </c>
      <c r="I59" s="114" t="s">
        <v>62</v>
      </c>
      <c r="J59" s="85">
        <v>1</v>
      </c>
      <c r="K59" s="86">
        <v>0</v>
      </c>
      <c r="L59" s="87">
        <f>711994+13795830</f>
        <v>14507824</v>
      </c>
      <c r="M59" s="87">
        <f>100000+100000+200000+12000000</f>
        <v>12400000</v>
      </c>
      <c r="N59" s="86">
        <f t="shared" si="1"/>
        <v>2107824</v>
      </c>
      <c r="O59" s="87">
        <f>14307824-523429.87-13784394.13</f>
        <v>0</v>
      </c>
      <c r="P59" s="87">
        <v>0</v>
      </c>
      <c r="Q59" s="87">
        <v>0</v>
      </c>
      <c r="R59" s="86">
        <f t="shared" si="2"/>
        <v>2107824</v>
      </c>
      <c r="S59" s="87">
        <f>99629.48+8019.29+173507.28+236664.08</f>
        <v>517820.13</v>
      </c>
      <c r="T59" s="88">
        <f t="shared" si="30"/>
        <v>0.24566573395122174</v>
      </c>
      <c r="U59" s="87">
        <f>99629.48+8019.29+173507.28+236664.08</f>
        <v>517820.13</v>
      </c>
      <c r="V59" s="88">
        <f t="shared" si="25"/>
        <v>0.24566573395122174</v>
      </c>
      <c r="W59" s="87">
        <f>40824.06+66824.71+173507.28+236664.08</f>
        <v>517820.13</v>
      </c>
      <c r="X59" s="89">
        <f t="shared" si="26"/>
        <v>0.24566573395122174</v>
      </c>
      <c r="Y59" s="65"/>
    </row>
    <row r="60" spans="1:25" s="90" customFormat="1" ht="39" customHeight="1" x14ac:dyDescent="0.2">
      <c r="A60" s="77" t="s">
        <v>46</v>
      </c>
      <c r="B60" s="78" t="s">
        <v>47</v>
      </c>
      <c r="C60" s="79" t="s">
        <v>75</v>
      </c>
      <c r="D60" s="80" t="s">
        <v>83</v>
      </c>
      <c r="E60" s="81" t="s">
        <v>73</v>
      </c>
      <c r="F60" s="82" t="s">
        <v>84</v>
      </c>
      <c r="G60" s="83">
        <v>1</v>
      </c>
      <c r="H60" s="113" t="s">
        <v>61</v>
      </c>
      <c r="I60" s="114" t="s">
        <v>62</v>
      </c>
      <c r="J60" s="85">
        <v>3</v>
      </c>
      <c r="K60" s="86">
        <v>0</v>
      </c>
      <c r="L60" s="87">
        <f>100000+100000+200000</f>
        <v>400000</v>
      </c>
      <c r="M60" s="87">
        <v>0</v>
      </c>
      <c r="N60" s="86">
        <f t="shared" si="1"/>
        <v>400000</v>
      </c>
      <c r="O60" s="87">
        <f>142231.61-142231.61</f>
        <v>0</v>
      </c>
      <c r="P60" s="87">
        <v>0</v>
      </c>
      <c r="Q60" s="87">
        <v>0</v>
      </c>
      <c r="R60" s="86">
        <f t="shared" si="2"/>
        <v>400000</v>
      </c>
      <c r="S60" s="87">
        <f>57768.39+12614.83+109759.96</f>
        <v>180143.18</v>
      </c>
      <c r="T60" s="88">
        <f t="shared" si="30"/>
        <v>0.45035795000000001</v>
      </c>
      <c r="U60" s="87">
        <f>57768.39+12614.83+109759.96</f>
        <v>180143.18</v>
      </c>
      <c r="V60" s="88">
        <f t="shared" si="25"/>
        <v>0.45035795000000001</v>
      </c>
      <c r="W60" s="87">
        <f>57768.39+12614.83+109759.96</f>
        <v>180143.18</v>
      </c>
      <c r="X60" s="89">
        <f t="shared" si="26"/>
        <v>0.45035795000000001</v>
      </c>
      <c r="Y60" s="65"/>
    </row>
    <row r="61" spans="1:25" s="65" customFormat="1" ht="9" customHeight="1" x14ac:dyDescent="0.2">
      <c r="A61" s="91"/>
      <c r="B61" s="92"/>
      <c r="C61" s="93"/>
      <c r="D61" s="94"/>
      <c r="E61" s="95"/>
      <c r="F61" s="96"/>
      <c r="G61" s="97"/>
      <c r="H61" s="93"/>
      <c r="I61" s="98"/>
      <c r="J61" s="99"/>
      <c r="K61" s="100"/>
      <c r="L61" s="101"/>
      <c r="M61" s="101"/>
      <c r="N61" s="100"/>
      <c r="O61" s="101"/>
      <c r="P61" s="101"/>
      <c r="Q61" s="101"/>
      <c r="R61" s="100"/>
      <c r="S61" s="101"/>
      <c r="T61" s="102"/>
      <c r="U61" s="101"/>
      <c r="V61" s="102"/>
      <c r="W61" s="101"/>
      <c r="X61" s="103"/>
    </row>
    <row r="62" spans="1:25" s="76" customFormat="1" ht="39" customHeight="1" x14ac:dyDescent="0.2">
      <c r="A62" s="104" t="s">
        <v>46</v>
      </c>
      <c r="B62" s="105" t="s">
        <v>47</v>
      </c>
      <c r="C62" s="106"/>
      <c r="D62" s="107" t="s">
        <v>85</v>
      </c>
      <c r="E62" s="108" t="s">
        <v>73</v>
      </c>
      <c r="F62" s="105" t="s">
        <v>86</v>
      </c>
      <c r="G62" s="109"/>
      <c r="H62" s="109"/>
      <c r="I62" s="109"/>
      <c r="J62" s="106"/>
      <c r="K62" s="110">
        <f>SUM(K63:K66)</f>
        <v>21052154</v>
      </c>
      <c r="L62" s="110">
        <f>SUM(L63:L66)</f>
        <v>3004121</v>
      </c>
      <c r="M62" s="110">
        <f t="shared" ref="M62:S62" si="31">SUM(M63:M66)</f>
        <v>1400000</v>
      </c>
      <c r="N62" s="110">
        <f t="shared" si="31"/>
        <v>22656275</v>
      </c>
      <c r="O62" s="110">
        <f t="shared" si="31"/>
        <v>0</v>
      </c>
      <c r="P62" s="110">
        <f t="shared" si="31"/>
        <v>0</v>
      </c>
      <c r="Q62" s="110">
        <f t="shared" si="31"/>
        <v>0</v>
      </c>
      <c r="R62" s="110">
        <f t="shared" si="31"/>
        <v>22656275</v>
      </c>
      <c r="S62" s="110">
        <f t="shared" si="31"/>
        <v>16546147.440000003</v>
      </c>
      <c r="T62" s="111">
        <f>S62/R62</f>
        <v>0.73031190873168705</v>
      </c>
      <c r="U62" s="110">
        <f>SUM(U63:U66)</f>
        <v>16457409.080000002</v>
      </c>
      <c r="V62" s="111">
        <f>U62/R62</f>
        <v>0.72639518543979542</v>
      </c>
      <c r="W62" s="110">
        <f>SUM(W63:W66)</f>
        <v>16212719.830000002</v>
      </c>
      <c r="X62" s="112">
        <f>W62/R62</f>
        <v>0.71559512011572957</v>
      </c>
      <c r="Y62" s="75"/>
    </row>
    <row r="63" spans="1:25" s="90" customFormat="1" ht="39" customHeight="1" x14ac:dyDescent="0.2">
      <c r="A63" s="77" t="s">
        <v>46</v>
      </c>
      <c r="B63" s="78" t="s">
        <v>47</v>
      </c>
      <c r="C63" s="79" t="s">
        <v>75</v>
      </c>
      <c r="D63" s="80" t="s">
        <v>85</v>
      </c>
      <c r="E63" s="81" t="s">
        <v>73</v>
      </c>
      <c r="F63" s="82" t="s">
        <v>86</v>
      </c>
      <c r="G63" s="83">
        <v>1</v>
      </c>
      <c r="H63" s="79" t="s">
        <v>52</v>
      </c>
      <c r="I63" s="84" t="s">
        <v>53</v>
      </c>
      <c r="J63" s="85">
        <v>1</v>
      </c>
      <c r="K63" s="86">
        <v>20952154</v>
      </c>
      <c r="L63" s="87">
        <f>517000</f>
        <v>517000</v>
      </c>
      <c r="M63" s="87">
        <v>0</v>
      </c>
      <c r="N63" s="86">
        <f t="shared" si="1"/>
        <v>21469154</v>
      </c>
      <c r="O63" s="87">
        <v>0</v>
      </c>
      <c r="P63" s="87">
        <v>0</v>
      </c>
      <c r="Q63" s="87">
        <v>0</v>
      </c>
      <c r="R63" s="86">
        <f t="shared" si="2"/>
        <v>21469154</v>
      </c>
      <c r="S63" s="87">
        <f>1538481+1385775.96+308520.97+4796295.44+1584967.2+1644267.07+1329869.22+1899458.8+1556726.17</f>
        <v>16044361.830000002</v>
      </c>
      <c r="T63" s="88">
        <f>S63/R63</f>
        <v>0.74732156795745197</v>
      </c>
      <c r="U63" s="87">
        <f>1538481-84022.04+1385775.96+308520.97+4138116.74+1724227.47+2158469.18+1329869.22+1899458.8+1556726.17</f>
        <v>15955623.470000001</v>
      </c>
      <c r="V63" s="88">
        <f t="shared" si="25"/>
        <v>0.74318827234645579</v>
      </c>
      <c r="W63" s="87">
        <f>571511.71+882947.25+1385775.96+308520.97+4133400.42+1728943.79+1967037.06+1365285.33+1810785.56+1556726.17</f>
        <v>15710934.220000001</v>
      </c>
      <c r="X63" s="89">
        <f t="shared" si="26"/>
        <v>0.73179102539392105</v>
      </c>
      <c r="Y63" s="65"/>
    </row>
    <row r="64" spans="1:25" s="90" customFormat="1" ht="39" customHeight="1" x14ac:dyDescent="0.2">
      <c r="A64" s="77" t="s">
        <v>46</v>
      </c>
      <c r="B64" s="78" t="s">
        <v>47</v>
      </c>
      <c r="C64" s="79" t="s">
        <v>75</v>
      </c>
      <c r="D64" s="80" t="s">
        <v>85</v>
      </c>
      <c r="E64" s="81" t="s">
        <v>73</v>
      </c>
      <c r="F64" s="82" t="s">
        <v>86</v>
      </c>
      <c r="G64" s="83">
        <v>1</v>
      </c>
      <c r="H64" s="79" t="s">
        <v>52</v>
      </c>
      <c r="I64" s="84" t="s">
        <v>53</v>
      </c>
      <c r="J64" s="85">
        <v>3</v>
      </c>
      <c r="K64" s="86">
        <v>100000</v>
      </c>
      <c r="L64" s="87">
        <v>0</v>
      </c>
      <c r="M64" s="87">
        <v>0</v>
      </c>
      <c r="N64" s="86">
        <f t="shared" si="1"/>
        <v>100000</v>
      </c>
      <c r="O64" s="87">
        <v>0</v>
      </c>
      <c r="P64" s="87">
        <v>0</v>
      </c>
      <c r="Q64" s="87">
        <v>0</v>
      </c>
      <c r="R64" s="86">
        <f t="shared" si="2"/>
        <v>100000</v>
      </c>
      <c r="S64" s="87">
        <f>70924.44+12224.7+16850</f>
        <v>99999.14</v>
      </c>
      <c r="T64" s="88">
        <f>S64/R64</f>
        <v>0.99999139999999997</v>
      </c>
      <c r="U64" s="87">
        <f>70924.44+12224.7+16850</f>
        <v>99999.14</v>
      </c>
      <c r="V64" s="88">
        <f t="shared" si="25"/>
        <v>0.99999139999999997</v>
      </c>
      <c r="W64" s="87">
        <f>70924.44+12224.7+16850</f>
        <v>99999.14</v>
      </c>
      <c r="X64" s="89">
        <f t="shared" si="26"/>
        <v>0.99999139999999997</v>
      </c>
      <c r="Y64" s="65"/>
    </row>
    <row r="65" spans="1:25" s="90" customFormat="1" ht="39" customHeight="1" x14ac:dyDescent="0.2">
      <c r="A65" s="77" t="s">
        <v>46</v>
      </c>
      <c r="B65" s="78" t="s">
        <v>47</v>
      </c>
      <c r="C65" s="79" t="s">
        <v>75</v>
      </c>
      <c r="D65" s="80" t="s">
        <v>85</v>
      </c>
      <c r="E65" s="81" t="s">
        <v>73</v>
      </c>
      <c r="F65" s="82" t="s">
        <v>86</v>
      </c>
      <c r="G65" s="83">
        <v>1</v>
      </c>
      <c r="H65" s="113" t="s">
        <v>61</v>
      </c>
      <c r="I65" s="114" t="s">
        <v>62</v>
      </c>
      <c r="J65" s="85">
        <v>1</v>
      </c>
      <c r="K65" s="86">
        <v>0</v>
      </c>
      <c r="L65" s="87">
        <f>41372+2045749</f>
        <v>2087121</v>
      </c>
      <c r="M65" s="87">
        <f>100000+300000+1000000</f>
        <v>1400000</v>
      </c>
      <c r="N65" s="86">
        <f t="shared" si="1"/>
        <v>687121</v>
      </c>
      <c r="O65" s="87">
        <f>1987121-336644.29-84000-100000-1466476.71</f>
        <v>0</v>
      </c>
      <c r="P65" s="87">
        <v>0</v>
      </c>
      <c r="Q65" s="87">
        <v>0</v>
      </c>
      <c r="R65" s="86">
        <f t="shared" si="2"/>
        <v>687121</v>
      </c>
      <c r="S65" s="87">
        <f>83316.57+97484.54+62676.22</f>
        <v>243477.33</v>
      </c>
      <c r="T65" s="88">
        <f>S65/R65</f>
        <v>0.35434418392102701</v>
      </c>
      <c r="U65" s="87">
        <f>83316.57+97484.54+62676.22</f>
        <v>243477.33</v>
      </c>
      <c r="V65" s="88">
        <f t="shared" si="25"/>
        <v>0.35434418392102701</v>
      </c>
      <c r="W65" s="87">
        <f>83316.57+97484.54+62676.22</f>
        <v>243477.33</v>
      </c>
      <c r="X65" s="89">
        <f t="shared" si="26"/>
        <v>0.35434418392102701</v>
      </c>
      <c r="Y65" s="65"/>
    </row>
    <row r="66" spans="1:25" s="90" customFormat="1" ht="39" customHeight="1" x14ac:dyDescent="0.2">
      <c r="A66" s="77" t="s">
        <v>46</v>
      </c>
      <c r="B66" s="78" t="s">
        <v>47</v>
      </c>
      <c r="C66" s="79" t="s">
        <v>75</v>
      </c>
      <c r="D66" s="80" t="s">
        <v>85</v>
      </c>
      <c r="E66" s="81" t="s">
        <v>73</v>
      </c>
      <c r="F66" s="82" t="s">
        <v>86</v>
      </c>
      <c r="G66" s="83">
        <v>1</v>
      </c>
      <c r="H66" s="115" t="s">
        <v>61</v>
      </c>
      <c r="I66" s="116" t="s">
        <v>62</v>
      </c>
      <c r="J66" s="85">
        <v>3</v>
      </c>
      <c r="K66" s="86">
        <v>0</v>
      </c>
      <c r="L66" s="87">
        <f>100000+300000</f>
        <v>400000</v>
      </c>
      <c r="M66" s="87">
        <v>0</v>
      </c>
      <c r="N66" s="86">
        <f t="shared" si="1"/>
        <v>400000</v>
      </c>
      <c r="O66" s="87">
        <f>100000-100000</f>
        <v>0</v>
      </c>
      <c r="P66" s="87">
        <v>0</v>
      </c>
      <c r="Q66" s="87">
        <v>0</v>
      </c>
      <c r="R66" s="86">
        <f t="shared" si="2"/>
        <v>400000</v>
      </c>
      <c r="S66" s="87">
        <f>58699.74+28685+70924.4</f>
        <v>158309.13999999998</v>
      </c>
      <c r="T66" s="88">
        <f>S66/R66</f>
        <v>0.39577284999999995</v>
      </c>
      <c r="U66" s="87">
        <f>28685+129624.14</f>
        <v>158309.14000000001</v>
      </c>
      <c r="V66" s="88">
        <f t="shared" si="25"/>
        <v>0.39577285000000001</v>
      </c>
      <c r="W66" s="87">
        <f>28685+129624.14</f>
        <v>158309.14000000001</v>
      </c>
      <c r="X66" s="89">
        <f t="shared" si="26"/>
        <v>0.39577285000000001</v>
      </c>
      <c r="Y66" s="65"/>
    </row>
    <row r="67" spans="1:25" s="65" customFormat="1" ht="9" customHeight="1" x14ac:dyDescent="0.2">
      <c r="A67" s="91"/>
      <c r="B67" s="92"/>
      <c r="C67" s="93"/>
      <c r="D67" s="94"/>
      <c r="E67" s="95"/>
      <c r="F67" s="96"/>
      <c r="G67" s="97"/>
      <c r="H67" s="93"/>
      <c r="I67" s="98"/>
      <c r="J67" s="99"/>
      <c r="K67" s="100"/>
      <c r="L67" s="101"/>
      <c r="M67" s="101"/>
      <c r="N67" s="100"/>
      <c r="O67" s="101"/>
      <c r="P67" s="101"/>
      <c r="Q67" s="101"/>
      <c r="R67" s="100"/>
      <c r="S67" s="101"/>
      <c r="T67" s="102"/>
      <c r="U67" s="101"/>
      <c r="V67" s="102"/>
      <c r="W67" s="101"/>
      <c r="X67" s="103"/>
    </row>
    <row r="68" spans="1:25" s="76" customFormat="1" ht="39" customHeight="1" x14ac:dyDescent="0.2">
      <c r="A68" s="104" t="s">
        <v>46</v>
      </c>
      <c r="B68" s="105" t="s">
        <v>47</v>
      </c>
      <c r="C68" s="106"/>
      <c r="D68" s="107" t="s">
        <v>87</v>
      </c>
      <c r="E68" s="108" t="s">
        <v>73</v>
      </c>
      <c r="F68" s="105" t="s">
        <v>88</v>
      </c>
      <c r="G68" s="109"/>
      <c r="H68" s="109"/>
      <c r="I68" s="109"/>
      <c r="J68" s="106"/>
      <c r="K68" s="110">
        <f>SUM(K69:K70)</f>
        <v>3219137</v>
      </c>
      <c r="L68" s="110">
        <f>SUM(L69:L70)</f>
        <v>0</v>
      </c>
      <c r="M68" s="110">
        <f t="shared" ref="M68:S68" si="32">SUM(M69:M70)</f>
        <v>0</v>
      </c>
      <c r="N68" s="110">
        <f t="shared" si="32"/>
        <v>3219137</v>
      </c>
      <c r="O68" s="110">
        <f t="shared" si="32"/>
        <v>0</v>
      </c>
      <c r="P68" s="110">
        <f t="shared" si="32"/>
        <v>0</v>
      </c>
      <c r="Q68" s="110">
        <f t="shared" si="32"/>
        <v>0</v>
      </c>
      <c r="R68" s="110">
        <f t="shared" si="32"/>
        <v>3219137</v>
      </c>
      <c r="S68" s="110">
        <f t="shared" si="32"/>
        <v>1900397.8499999996</v>
      </c>
      <c r="T68" s="111">
        <f>S68/R68</f>
        <v>0.59034388719709652</v>
      </c>
      <c r="U68" s="110">
        <f>SUM(U69:U70)</f>
        <v>1900397.8499999996</v>
      </c>
      <c r="V68" s="111">
        <f>U68/R68</f>
        <v>0.59034388719709652</v>
      </c>
      <c r="W68" s="110">
        <f>SUM(W69:W70)</f>
        <v>1900397.8499999996</v>
      </c>
      <c r="X68" s="112">
        <f>W68/R68</f>
        <v>0.59034388719709652</v>
      </c>
      <c r="Y68" s="75"/>
    </row>
    <row r="69" spans="1:25" s="90" customFormat="1" ht="39" customHeight="1" x14ac:dyDescent="0.2">
      <c r="A69" s="77" t="s">
        <v>46</v>
      </c>
      <c r="B69" s="78" t="s">
        <v>47</v>
      </c>
      <c r="C69" s="79" t="s">
        <v>75</v>
      </c>
      <c r="D69" s="80" t="s">
        <v>87</v>
      </c>
      <c r="E69" s="81" t="s">
        <v>73</v>
      </c>
      <c r="F69" s="82" t="s">
        <v>89</v>
      </c>
      <c r="G69" s="83">
        <v>1</v>
      </c>
      <c r="H69" s="79" t="s">
        <v>52</v>
      </c>
      <c r="I69" s="84" t="s">
        <v>53</v>
      </c>
      <c r="J69" s="85">
        <v>1</v>
      </c>
      <c r="K69" s="86">
        <v>3213137</v>
      </c>
      <c r="L69" s="87">
        <v>0</v>
      </c>
      <c r="M69" s="87">
        <v>0</v>
      </c>
      <c r="N69" s="86">
        <f t="shared" si="1"/>
        <v>3213137</v>
      </c>
      <c r="O69" s="87">
        <v>0</v>
      </c>
      <c r="P69" s="87">
        <v>0</v>
      </c>
      <c r="Q69" s="87">
        <v>0</v>
      </c>
      <c r="R69" s="86">
        <f t="shared" si="2"/>
        <v>3213137</v>
      </c>
      <c r="S69" s="87">
        <f>188597.33+189245.22+571120.85+182102.21+197061.19+191884.36+187853.43+192533.26</f>
        <v>1900397.8499999996</v>
      </c>
      <c r="T69" s="88">
        <f>S69/R69</f>
        <v>0.59144625641545934</v>
      </c>
      <c r="U69" s="87">
        <f>188597.33+189245.22+571120.85+182102.21+197061.19+191884.36+187853.43+192533.26</f>
        <v>1900397.8499999996</v>
      </c>
      <c r="V69" s="88">
        <f t="shared" si="25"/>
        <v>0.59144625641545934</v>
      </c>
      <c r="W69" s="87">
        <f>72449.9+116147.43+189245.22+571120.85+182102.21+197061.19+191884.36+187853.43+192533.26</f>
        <v>1900397.8499999996</v>
      </c>
      <c r="X69" s="89">
        <f t="shared" si="26"/>
        <v>0.59144625641545934</v>
      </c>
      <c r="Y69" s="65"/>
    </row>
    <row r="70" spans="1:25" s="90" customFormat="1" ht="39" customHeight="1" x14ac:dyDescent="0.2">
      <c r="A70" s="77" t="s">
        <v>46</v>
      </c>
      <c r="B70" s="78" t="s">
        <v>47</v>
      </c>
      <c r="C70" s="79" t="s">
        <v>75</v>
      </c>
      <c r="D70" s="80" t="s">
        <v>87</v>
      </c>
      <c r="E70" s="81" t="s">
        <v>73</v>
      </c>
      <c r="F70" s="82" t="s">
        <v>89</v>
      </c>
      <c r="G70" s="83">
        <v>1</v>
      </c>
      <c r="H70" s="79" t="s">
        <v>52</v>
      </c>
      <c r="I70" s="84" t="s">
        <v>53</v>
      </c>
      <c r="J70" s="85">
        <v>3</v>
      </c>
      <c r="K70" s="86">
        <v>6000</v>
      </c>
      <c r="L70" s="87">
        <v>0</v>
      </c>
      <c r="M70" s="87">
        <v>0</v>
      </c>
      <c r="N70" s="86">
        <f t="shared" si="1"/>
        <v>6000</v>
      </c>
      <c r="O70" s="87">
        <v>0</v>
      </c>
      <c r="P70" s="87">
        <v>0</v>
      </c>
      <c r="Q70" s="87">
        <v>0</v>
      </c>
      <c r="R70" s="86">
        <f t="shared" si="2"/>
        <v>6000</v>
      </c>
      <c r="S70" s="87">
        <v>0</v>
      </c>
      <c r="T70" s="88">
        <f>S70/R70</f>
        <v>0</v>
      </c>
      <c r="U70" s="87">
        <v>0</v>
      </c>
      <c r="V70" s="88">
        <f t="shared" si="25"/>
        <v>0</v>
      </c>
      <c r="W70" s="87">
        <v>0</v>
      </c>
      <c r="X70" s="89">
        <f t="shared" si="26"/>
        <v>0</v>
      </c>
      <c r="Y70" s="65"/>
    </row>
    <row r="71" spans="1:25" s="65" customFormat="1" ht="9" customHeight="1" x14ac:dyDescent="0.2">
      <c r="A71" s="91"/>
      <c r="B71" s="92"/>
      <c r="C71" s="93"/>
      <c r="D71" s="94"/>
      <c r="E71" s="95"/>
      <c r="F71" s="96"/>
      <c r="G71" s="97"/>
      <c r="H71" s="93"/>
      <c r="I71" s="98"/>
      <c r="J71" s="99"/>
      <c r="K71" s="100"/>
      <c r="L71" s="101"/>
      <c r="M71" s="101"/>
      <c r="N71" s="100"/>
      <c r="O71" s="101"/>
      <c r="P71" s="101"/>
      <c r="Q71" s="101"/>
      <c r="R71" s="100"/>
      <c r="S71" s="101"/>
      <c r="T71" s="102"/>
      <c r="U71" s="101"/>
      <c r="V71" s="102"/>
      <c r="W71" s="101"/>
      <c r="X71" s="103"/>
    </row>
    <row r="72" spans="1:25" s="76" customFormat="1" ht="39" customHeight="1" x14ac:dyDescent="0.2">
      <c r="A72" s="104" t="s">
        <v>46</v>
      </c>
      <c r="B72" s="105" t="s">
        <v>47</v>
      </c>
      <c r="C72" s="106"/>
      <c r="D72" s="107" t="s">
        <v>90</v>
      </c>
      <c r="E72" s="108" t="s">
        <v>73</v>
      </c>
      <c r="F72" s="105" t="s">
        <v>91</v>
      </c>
      <c r="G72" s="109"/>
      <c r="H72" s="109"/>
      <c r="I72" s="109"/>
      <c r="J72" s="106"/>
      <c r="K72" s="110">
        <f>SUM(K73:K74)</f>
        <v>10670912</v>
      </c>
      <c r="L72" s="110">
        <f>SUM(L73:L74)</f>
        <v>20000</v>
      </c>
      <c r="M72" s="110">
        <f t="shared" ref="M72:U72" si="33">SUM(M73:M74)</f>
        <v>0</v>
      </c>
      <c r="N72" s="110">
        <f t="shared" si="33"/>
        <v>10690912</v>
      </c>
      <c r="O72" s="110">
        <f t="shared" si="33"/>
        <v>0</v>
      </c>
      <c r="P72" s="110">
        <f t="shared" si="33"/>
        <v>0</v>
      </c>
      <c r="Q72" s="110">
        <f t="shared" si="33"/>
        <v>-8799752.1699999999</v>
      </c>
      <c r="R72" s="110">
        <f t="shared" si="33"/>
        <v>1891159.8299999994</v>
      </c>
      <c r="S72" s="110">
        <f t="shared" si="33"/>
        <v>0</v>
      </c>
      <c r="T72" s="111">
        <f>S72/R72</f>
        <v>0</v>
      </c>
      <c r="U72" s="110">
        <f t="shared" si="33"/>
        <v>0</v>
      </c>
      <c r="V72" s="111">
        <f>U72/R72</f>
        <v>0</v>
      </c>
      <c r="W72" s="110">
        <f>SUM(W73:W74)</f>
        <v>0</v>
      </c>
      <c r="X72" s="112">
        <f>W72/R72</f>
        <v>0</v>
      </c>
      <c r="Y72" s="75"/>
    </row>
    <row r="73" spans="1:25" s="90" customFormat="1" ht="39" customHeight="1" x14ac:dyDescent="0.2">
      <c r="A73" s="77" t="s">
        <v>46</v>
      </c>
      <c r="B73" s="78" t="s">
        <v>47</v>
      </c>
      <c r="C73" s="79" t="s">
        <v>75</v>
      </c>
      <c r="D73" s="80" t="s">
        <v>90</v>
      </c>
      <c r="E73" s="81" t="s">
        <v>73</v>
      </c>
      <c r="F73" s="82" t="s">
        <v>92</v>
      </c>
      <c r="G73" s="83">
        <v>1</v>
      </c>
      <c r="H73" s="79" t="s">
        <v>52</v>
      </c>
      <c r="I73" s="84" t="s">
        <v>53</v>
      </c>
      <c r="J73" s="85">
        <v>3</v>
      </c>
      <c r="K73" s="86">
        <v>10670912</v>
      </c>
      <c r="L73" s="87">
        <v>0</v>
      </c>
      <c r="M73" s="87">
        <v>0</v>
      </c>
      <c r="N73" s="86">
        <f t="shared" si="1"/>
        <v>10670912</v>
      </c>
      <c r="O73" s="87">
        <v>0</v>
      </c>
      <c r="P73" s="87">
        <v>0</v>
      </c>
      <c r="Q73" s="87">
        <f>-952553.38-876321.82-881351.93-674985.08-849480.51-808769.15-786441.98-1016897.31-1045645.83-901768.07</f>
        <v>-8794215.0600000005</v>
      </c>
      <c r="R73" s="86">
        <f t="shared" si="2"/>
        <v>1876696.9399999995</v>
      </c>
      <c r="S73" s="87">
        <v>0</v>
      </c>
      <c r="T73" s="88">
        <f>S73/R73</f>
        <v>0</v>
      </c>
      <c r="U73" s="87">
        <v>0</v>
      </c>
      <c r="V73" s="88">
        <f t="shared" si="25"/>
        <v>0</v>
      </c>
      <c r="W73" s="87">
        <v>0</v>
      </c>
      <c r="X73" s="89">
        <f t="shared" si="26"/>
        <v>0</v>
      </c>
      <c r="Y73" s="65"/>
    </row>
    <row r="74" spans="1:25" s="90" customFormat="1" ht="39" customHeight="1" x14ac:dyDescent="0.2">
      <c r="A74" s="77" t="s">
        <v>46</v>
      </c>
      <c r="B74" s="78" t="s">
        <v>47</v>
      </c>
      <c r="C74" s="79" t="s">
        <v>75</v>
      </c>
      <c r="D74" s="80" t="s">
        <v>90</v>
      </c>
      <c r="E74" s="81" t="s">
        <v>73</v>
      </c>
      <c r="F74" s="82" t="s">
        <v>92</v>
      </c>
      <c r="G74" s="83">
        <v>1</v>
      </c>
      <c r="H74" s="79" t="s">
        <v>68</v>
      </c>
      <c r="I74" s="84" t="s">
        <v>69</v>
      </c>
      <c r="J74" s="85">
        <v>3</v>
      </c>
      <c r="K74" s="86">
        <v>0</v>
      </c>
      <c r="L74" s="87">
        <f>20000</f>
        <v>20000</v>
      </c>
      <c r="M74" s="87">
        <v>0</v>
      </c>
      <c r="N74" s="86">
        <f t="shared" si="1"/>
        <v>20000</v>
      </c>
      <c r="O74" s="87">
        <v>0</v>
      </c>
      <c r="P74" s="87">
        <v>0</v>
      </c>
      <c r="Q74" s="87">
        <f>-5537.11</f>
        <v>-5537.11</v>
      </c>
      <c r="R74" s="86">
        <f t="shared" si="2"/>
        <v>14462.89</v>
      </c>
      <c r="S74" s="87">
        <v>0</v>
      </c>
      <c r="T74" s="88">
        <f>S74/R74</f>
        <v>0</v>
      </c>
      <c r="U74" s="87">
        <v>0</v>
      </c>
      <c r="V74" s="88">
        <f t="shared" si="25"/>
        <v>0</v>
      </c>
      <c r="W74" s="87">
        <v>0</v>
      </c>
      <c r="X74" s="89">
        <f t="shared" si="26"/>
        <v>0</v>
      </c>
      <c r="Y74" s="65"/>
    </row>
    <row r="75" spans="1:25" s="65" customFormat="1" ht="9" customHeight="1" x14ac:dyDescent="0.2">
      <c r="A75" s="91"/>
      <c r="B75" s="92"/>
      <c r="C75" s="93"/>
      <c r="D75" s="94"/>
      <c r="E75" s="95"/>
      <c r="F75" s="96"/>
      <c r="G75" s="97"/>
      <c r="H75" s="93"/>
      <c r="I75" s="98"/>
      <c r="J75" s="99"/>
      <c r="K75" s="100"/>
      <c r="L75" s="101"/>
      <c r="M75" s="101"/>
      <c r="N75" s="100"/>
      <c r="O75" s="101"/>
      <c r="P75" s="101"/>
      <c r="Q75" s="101"/>
      <c r="R75" s="100"/>
      <c r="S75" s="101"/>
      <c r="T75" s="102"/>
      <c r="U75" s="101"/>
      <c r="V75" s="102"/>
      <c r="W75" s="101"/>
      <c r="X75" s="103"/>
    </row>
    <row r="76" spans="1:25" s="76" customFormat="1" ht="39" customHeight="1" x14ac:dyDescent="0.2">
      <c r="A76" s="104" t="s">
        <v>46</v>
      </c>
      <c r="B76" s="105" t="s">
        <v>47</v>
      </c>
      <c r="C76" s="106"/>
      <c r="D76" s="107" t="s">
        <v>93</v>
      </c>
      <c r="E76" s="108" t="s">
        <v>73</v>
      </c>
      <c r="F76" s="105" t="s">
        <v>94</v>
      </c>
      <c r="G76" s="109"/>
      <c r="H76" s="109"/>
      <c r="I76" s="109"/>
      <c r="J76" s="106"/>
      <c r="K76" s="110">
        <f>SUM(K77:K77)</f>
        <v>10052530</v>
      </c>
      <c r="L76" s="110">
        <f t="shared" ref="L76:S76" si="34">SUM(L77:L77)</f>
        <v>0</v>
      </c>
      <c r="M76" s="110">
        <f t="shared" si="34"/>
        <v>0</v>
      </c>
      <c r="N76" s="110">
        <f t="shared" si="34"/>
        <v>10052530</v>
      </c>
      <c r="O76" s="110">
        <f t="shared" si="34"/>
        <v>0</v>
      </c>
      <c r="P76" s="110">
        <f t="shared" si="34"/>
        <v>0</v>
      </c>
      <c r="Q76" s="110">
        <f t="shared" si="34"/>
        <v>0</v>
      </c>
      <c r="R76" s="110">
        <f t="shared" si="34"/>
        <v>10052530</v>
      </c>
      <c r="S76" s="110">
        <f t="shared" si="34"/>
        <v>10052529.780000001</v>
      </c>
      <c r="T76" s="111">
        <f>S76/R76</f>
        <v>0.99999997811496222</v>
      </c>
      <c r="U76" s="110">
        <f>SUM(U77:U77)</f>
        <v>10052529.779999999</v>
      </c>
      <c r="V76" s="111">
        <f>U76/R76</f>
        <v>0.999999978114962</v>
      </c>
      <c r="W76" s="110">
        <f>SUM(W77:W77)</f>
        <v>10052529.780000001</v>
      </c>
      <c r="X76" s="112">
        <f>W76/R76</f>
        <v>0.99999997811496222</v>
      </c>
      <c r="Y76" s="75"/>
    </row>
    <row r="77" spans="1:25" s="90" customFormat="1" ht="39" customHeight="1" x14ac:dyDescent="0.2">
      <c r="A77" s="77" t="s">
        <v>46</v>
      </c>
      <c r="B77" s="78" t="s">
        <v>47</v>
      </c>
      <c r="C77" s="79" t="s">
        <v>75</v>
      </c>
      <c r="D77" s="80" t="s">
        <v>93</v>
      </c>
      <c r="E77" s="81" t="s">
        <v>73</v>
      </c>
      <c r="F77" s="82" t="s">
        <v>95</v>
      </c>
      <c r="G77" s="83">
        <v>1</v>
      </c>
      <c r="H77" s="79" t="s">
        <v>52</v>
      </c>
      <c r="I77" s="84" t="s">
        <v>53</v>
      </c>
      <c r="J77" s="85">
        <v>1</v>
      </c>
      <c r="K77" s="86">
        <v>10052530</v>
      </c>
      <c r="L77" s="87">
        <v>0</v>
      </c>
      <c r="M77" s="87">
        <v>0</v>
      </c>
      <c r="N77" s="86">
        <f t="shared" si="1"/>
        <v>10052530</v>
      </c>
      <c r="O77" s="87">
        <v>0</v>
      </c>
      <c r="P77" s="87">
        <v>0</v>
      </c>
      <c r="Q77" s="87">
        <v>0</v>
      </c>
      <c r="R77" s="86">
        <f t="shared" si="2"/>
        <v>10052530</v>
      </c>
      <c r="S77" s="87">
        <f>1474707.48+1441241.51+2671445.5+3699933.15+765202.14</f>
        <v>10052529.780000001</v>
      </c>
      <c r="T77" s="88">
        <f>S77/R77</f>
        <v>0.99999997811496222</v>
      </c>
      <c r="U77" s="87">
        <f>1474707.48+1441241.51+1444807.19+3194001.88+2497771.72</f>
        <v>10052529.779999999</v>
      </c>
      <c r="V77" s="88">
        <f t="shared" si="25"/>
        <v>0.999999978114962</v>
      </c>
      <c r="W77" s="87">
        <f>1474707.48+1441241.51+1444314.92+1967855.84+2959207.89+765202.14</f>
        <v>10052529.780000001</v>
      </c>
      <c r="X77" s="89">
        <f t="shared" si="26"/>
        <v>0.99999997811496222</v>
      </c>
      <c r="Y77" s="65"/>
    </row>
    <row r="78" spans="1:25" s="65" customFormat="1" ht="9" customHeight="1" x14ac:dyDescent="0.2">
      <c r="A78" s="91"/>
      <c r="B78" s="92"/>
      <c r="C78" s="93"/>
      <c r="D78" s="94"/>
      <c r="E78" s="95"/>
      <c r="F78" s="96"/>
      <c r="G78" s="97"/>
      <c r="H78" s="93"/>
      <c r="I78" s="98"/>
      <c r="J78" s="99"/>
      <c r="K78" s="100"/>
      <c r="L78" s="101"/>
      <c r="M78" s="101"/>
      <c r="N78" s="100"/>
      <c r="O78" s="101"/>
      <c r="P78" s="101"/>
      <c r="Q78" s="101"/>
      <c r="R78" s="100"/>
      <c r="S78" s="101"/>
      <c r="T78" s="102"/>
      <c r="U78" s="101"/>
      <c r="V78" s="102"/>
      <c r="W78" s="101"/>
      <c r="X78" s="103"/>
    </row>
    <row r="79" spans="1:25" s="76" customFormat="1" ht="39" customHeight="1" x14ac:dyDescent="0.2">
      <c r="A79" s="104" t="s">
        <v>46</v>
      </c>
      <c r="B79" s="105" t="s">
        <v>47</v>
      </c>
      <c r="C79" s="106"/>
      <c r="D79" s="107" t="s">
        <v>96</v>
      </c>
      <c r="E79" s="108" t="s">
        <v>73</v>
      </c>
      <c r="F79" s="105" t="s">
        <v>97</v>
      </c>
      <c r="G79" s="109"/>
      <c r="H79" s="109"/>
      <c r="I79" s="109"/>
      <c r="J79" s="106"/>
      <c r="K79" s="110">
        <f>SUM(K80:K80)</f>
        <v>8873904</v>
      </c>
      <c r="L79" s="110">
        <f t="shared" ref="L79:Q79" si="35">SUM(L80:L80)</f>
        <v>3500000</v>
      </c>
      <c r="M79" s="110">
        <f t="shared" si="35"/>
        <v>0</v>
      </c>
      <c r="N79" s="110">
        <f t="shared" si="35"/>
        <v>12373904</v>
      </c>
      <c r="O79" s="110">
        <f t="shared" si="35"/>
        <v>0</v>
      </c>
      <c r="P79" s="110">
        <f t="shared" si="35"/>
        <v>0</v>
      </c>
      <c r="Q79" s="110">
        <f t="shared" si="35"/>
        <v>0</v>
      </c>
      <c r="R79" s="110">
        <f>SUM(R80:R80)</f>
        <v>12373904</v>
      </c>
      <c r="S79" s="110">
        <f>SUM(S80:S80)</f>
        <v>7879295.4500000002</v>
      </c>
      <c r="T79" s="111">
        <f>S79/R79</f>
        <v>0.63676713913410032</v>
      </c>
      <c r="U79" s="110">
        <f>SUM(U80:U80)</f>
        <v>7879295.4500000002</v>
      </c>
      <c r="V79" s="111">
        <f>U79/R79</f>
        <v>0.63676713913410032</v>
      </c>
      <c r="W79" s="110">
        <f>SUM(W80:W80)</f>
        <v>5938666.4000000004</v>
      </c>
      <c r="X79" s="112">
        <f>W79/R79</f>
        <v>0.47993474007879811</v>
      </c>
      <c r="Y79" s="75"/>
    </row>
    <row r="80" spans="1:25" s="90" customFormat="1" ht="39" customHeight="1" x14ac:dyDescent="0.2">
      <c r="A80" s="77" t="s">
        <v>46</v>
      </c>
      <c r="B80" s="78" t="s">
        <v>47</v>
      </c>
      <c r="C80" s="79" t="s">
        <v>75</v>
      </c>
      <c r="D80" s="80" t="s">
        <v>96</v>
      </c>
      <c r="E80" s="81" t="s">
        <v>73</v>
      </c>
      <c r="F80" s="82" t="s">
        <v>98</v>
      </c>
      <c r="G80" s="83">
        <v>1</v>
      </c>
      <c r="H80" s="79" t="s">
        <v>52</v>
      </c>
      <c r="I80" s="84" t="s">
        <v>53</v>
      </c>
      <c r="J80" s="85">
        <v>1</v>
      </c>
      <c r="K80" s="86">
        <v>8873904</v>
      </c>
      <c r="L80" s="87">
        <f>3500000</f>
        <v>3500000</v>
      </c>
      <c r="M80" s="87">
        <v>0</v>
      </c>
      <c r="N80" s="86">
        <f t="shared" ref="N80" si="36">K80+L80-M80</f>
        <v>12373904</v>
      </c>
      <c r="O80" s="87">
        <v>0</v>
      </c>
      <c r="P80" s="87">
        <v>0</v>
      </c>
      <c r="Q80" s="87">
        <v>0</v>
      </c>
      <c r="R80" s="86">
        <f t="shared" ref="R80" si="37">N80-O80+P80+Q80</f>
        <v>12373904</v>
      </c>
      <c r="S80" s="87">
        <f>743148.52+1337591.19+3857926.69+1940629.05</f>
        <v>7879295.4500000002</v>
      </c>
      <c r="T80" s="88">
        <f>S80/R80</f>
        <v>0.63676713913410032</v>
      </c>
      <c r="U80" s="87">
        <f>743148.52+1337591.19+3856952.77+1941602.97</f>
        <v>7879295.4500000002</v>
      </c>
      <c r="V80" s="88">
        <f t="shared" ref="V80" si="38">U80/R80</f>
        <v>0.63676713913410032</v>
      </c>
      <c r="W80" s="87">
        <f>743148.52+3265816.66+1929701.22</f>
        <v>5938666.4000000004</v>
      </c>
      <c r="X80" s="89">
        <f t="shared" ref="X80" si="39">W80/R80</f>
        <v>0.47993474007879811</v>
      </c>
      <c r="Y80" s="65"/>
    </row>
    <row r="81" spans="1:25" s="65" customFormat="1" ht="9" customHeight="1" x14ac:dyDescent="0.2">
      <c r="A81" s="91"/>
      <c r="B81" s="92"/>
      <c r="C81" s="93"/>
      <c r="D81" s="94"/>
      <c r="E81" s="95"/>
      <c r="F81" s="96"/>
      <c r="G81" s="97"/>
      <c r="H81" s="93"/>
      <c r="I81" s="98"/>
      <c r="J81" s="99"/>
      <c r="K81" s="100"/>
      <c r="L81" s="101"/>
      <c r="M81" s="101"/>
      <c r="N81" s="100"/>
      <c r="O81" s="101"/>
      <c r="P81" s="101"/>
      <c r="Q81" s="101"/>
      <c r="R81" s="100"/>
      <c r="S81" s="101"/>
      <c r="T81" s="102"/>
      <c r="U81" s="101"/>
      <c r="V81" s="102"/>
      <c r="W81" s="101"/>
      <c r="X81" s="103"/>
    </row>
    <row r="82" spans="1:25" s="76" customFormat="1" ht="39" customHeight="1" x14ac:dyDescent="0.2">
      <c r="A82" s="104" t="s">
        <v>46</v>
      </c>
      <c r="B82" s="105" t="s">
        <v>47</v>
      </c>
      <c r="C82" s="106"/>
      <c r="D82" s="107" t="s">
        <v>99</v>
      </c>
      <c r="E82" s="108" t="s">
        <v>73</v>
      </c>
      <c r="F82" s="105" t="s">
        <v>100</v>
      </c>
      <c r="G82" s="109"/>
      <c r="H82" s="109"/>
      <c r="I82" s="109"/>
      <c r="J82" s="106"/>
      <c r="K82" s="110">
        <f>K83</f>
        <v>450000</v>
      </c>
      <c r="L82" s="110">
        <f t="shared" ref="L82:S82" si="40">L83</f>
        <v>0</v>
      </c>
      <c r="M82" s="110">
        <f t="shared" si="40"/>
        <v>0</v>
      </c>
      <c r="N82" s="110">
        <f t="shared" si="40"/>
        <v>450000</v>
      </c>
      <c r="O82" s="110">
        <f t="shared" si="40"/>
        <v>0</v>
      </c>
      <c r="P82" s="110">
        <f t="shared" si="40"/>
        <v>0</v>
      </c>
      <c r="Q82" s="110">
        <f t="shared" si="40"/>
        <v>0</v>
      </c>
      <c r="R82" s="110">
        <f t="shared" si="40"/>
        <v>450000</v>
      </c>
      <c r="S82" s="110">
        <f t="shared" si="40"/>
        <v>278254.52999999997</v>
      </c>
      <c r="T82" s="111">
        <f>S82/R82</f>
        <v>0.61834339999999999</v>
      </c>
      <c r="U82" s="110">
        <f>U83</f>
        <v>278254.52999999997</v>
      </c>
      <c r="V82" s="111">
        <f>U82/R82</f>
        <v>0.61834339999999999</v>
      </c>
      <c r="W82" s="110">
        <f>W83</f>
        <v>278254.52999999997</v>
      </c>
      <c r="X82" s="112">
        <f>W82/R82</f>
        <v>0.61834339999999999</v>
      </c>
      <c r="Y82" s="75"/>
    </row>
    <row r="83" spans="1:25" s="90" customFormat="1" ht="39" customHeight="1" x14ac:dyDescent="0.2">
      <c r="A83" s="77" t="s">
        <v>46</v>
      </c>
      <c r="B83" s="78" t="s">
        <v>47</v>
      </c>
      <c r="C83" s="79" t="s">
        <v>101</v>
      </c>
      <c r="D83" s="80" t="s">
        <v>99</v>
      </c>
      <c r="E83" s="81" t="s">
        <v>73</v>
      </c>
      <c r="F83" s="82" t="s">
        <v>102</v>
      </c>
      <c r="G83" s="83">
        <v>1</v>
      </c>
      <c r="H83" s="79" t="s">
        <v>52</v>
      </c>
      <c r="I83" s="84" t="s">
        <v>53</v>
      </c>
      <c r="J83" s="85">
        <v>3</v>
      </c>
      <c r="K83" s="86">
        <v>450000</v>
      </c>
      <c r="L83" s="87">
        <v>0</v>
      </c>
      <c r="M83" s="87">
        <v>0</v>
      </c>
      <c r="N83" s="86">
        <f t="shared" si="1"/>
        <v>450000</v>
      </c>
      <c r="O83" s="87">
        <v>0</v>
      </c>
      <c r="P83" s="87">
        <v>0</v>
      </c>
      <c r="Q83" s="87">
        <v>0</v>
      </c>
      <c r="R83" s="86">
        <f t="shared" si="2"/>
        <v>450000</v>
      </c>
      <c r="S83" s="87">
        <f>29673.62+29694.58+59022.97+53049.73+26439.53+26439.53+26666.81+27267.76</f>
        <v>278254.52999999997</v>
      </c>
      <c r="T83" s="88">
        <f>S83/R83</f>
        <v>0.61834339999999999</v>
      </c>
      <c r="U83" s="87">
        <f>29673.62+29694.58+59022.97+53049.73+26439.53+26439.53+26666.81+27267.76</f>
        <v>278254.52999999997</v>
      </c>
      <c r="V83" s="88">
        <f t="shared" si="25"/>
        <v>0.61834339999999999</v>
      </c>
      <c r="W83" s="87">
        <f>29673.62+29694.58+59022.97+53049.73+26439.53+26439.53+26666.81+27267.76</f>
        <v>278254.52999999997</v>
      </c>
      <c r="X83" s="89">
        <f t="shared" si="26"/>
        <v>0.61834339999999999</v>
      </c>
      <c r="Y83" s="65"/>
    </row>
    <row r="84" spans="1:25" s="65" customFormat="1" ht="9" customHeight="1" x14ac:dyDescent="0.2">
      <c r="A84" s="91"/>
      <c r="B84" s="92"/>
      <c r="C84" s="93"/>
      <c r="D84" s="94"/>
      <c r="E84" s="95"/>
      <c r="F84" s="96"/>
      <c r="G84" s="97"/>
      <c r="H84" s="93"/>
      <c r="I84" s="98"/>
      <c r="J84" s="99"/>
      <c r="K84" s="100"/>
      <c r="L84" s="101"/>
      <c r="M84" s="101"/>
      <c r="N84" s="100"/>
      <c r="O84" s="101"/>
      <c r="P84" s="101"/>
      <c r="Q84" s="101"/>
      <c r="R84" s="100"/>
      <c r="S84" s="101"/>
      <c r="T84" s="102"/>
      <c r="U84" s="101"/>
      <c r="V84" s="102"/>
      <c r="W84" s="101"/>
      <c r="X84" s="103"/>
    </row>
    <row r="85" spans="1:25" s="76" customFormat="1" ht="39" customHeight="1" x14ac:dyDescent="0.2">
      <c r="A85" s="104" t="s">
        <v>46</v>
      </c>
      <c r="B85" s="105" t="s">
        <v>47</v>
      </c>
      <c r="C85" s="106"/>
      <c r="D85" s="107" t="s">
        <v>103</v>
      </c>
      <c r="E85" s="108" t="s">
        <v>73</v>
      </c>
      <c r="F85" s="105" t="s">
        <v>104</v>
      </c>
      <c r="G85" s="109"/>
      <c r="H85" s="109"/>
      <c r="I85" s="109"/>
      <c r="J85" s="106"/>
      <c r="K85" s="110">
        <f>K86</f>
        <v>50000</v>
      </c>
      <c r="L85" s="110">
        <f t="shared" ref="L85:S85" si="41">L86</f>
        <v>0</v>
      </c>
      <c r="M85" s="110">
        <f t="shared" si="41"/>
        <v>0</v>
      </c>
      <c r="N85" s="110">
        <f t="shared" si="41"/>
        <v>50000</v>
      </c>
      <c r="O85" s="110">
        <f t="shared" si="41"/>
        <v>0</v>
      </c>
      <c r="P85" s="110">
        <f t="shared" si="41"/>
        <v>0</v>
      </c>
      <c r="Q85" s="110">
        <f t="shared" si="41"/>
        <v>0</v>
      </c>
      <c r="R85" s="110">
        <f t="shared" si="41"/>
        <v>50000</v>
      </c>
      <c r="S85" s="110">
        <f t="shared" si="41"/>
        <v>46128.56</v>
      </c>
      <c r="T85" s="111">
        <f>S85/R85</f>
        <v>0.92257119999999992</v>
      </c>
      <c r="U85" s="110">
        <f>U86</f>
        <v>46128.56</v>
      </c>
      <c r="V85" s="111">
        <f>U85/R85</f>
        <v>0.92257119999999992</v>
      </c>
      <c r="W85" s="110">
        <f>W86</f>
        <v>46128.56</v>
      </c>
      <c r="X85" s="112">
        <f>W85/R85</f>
        <v>0.92257119999999992</v>
      </c>
      <c r="Y85" s="75"/>
    </row>
    <row r="86" spans="1:25" s="90" customFormat="1" ht="39" customHeight="1" x14ac:dyDescent="0.2">
      <c r="A86" s="77" t="s">
        <v>46</v>
      </c>
      <c r="B86" s="78" t="s">
        <v>47</v>
      </c>
      <c r="C86" s="79" t="s">
        <v>101</v>
      </c>
      <c r="D86" s="80" t="s">
        <v>103</v>
      </c>
      <c r="E86" s="81" t="s">
        <v>73</v>
      </c>
      <c r="F86" s="82" t="s">
        <v>105</v>
      </c>
      <c r="G86" s="83">
        <v>1</v>
      </c>
      <c r="H86" s="79" t="s">
        <v>52</v>
      </c>
      <c r="I86" s="84" t="s">
        <v>53</v>
      </c>
      <c r="J86" s="85">
        <v>3</v>
      </c>
      <c r="K86" s="86">
        <v>50000</v>
      </c>
      <c r="L86" s="87">
        <v>0</v>
      </c>
      <c r="M86" s="87">
        <v>0</v>
      </c>
      <c r="N86" s="86">
        <f>K86+L86-M86</f>
        <v>50000</v>
      </c>
      <c r="O86" s="87">
        <v>0</v>
      </c>
      <c r="P86" s="87">
        <v>0</v>
      </c>
      <c r="Q86" s="87">
        <v>0</v>
      </c>
      <c r="R86" s="86">
        <f t="shared" si="2"/>
        <v>50000</v>
      </c>
      <c r="S86" s="87">
        <f>5055.49+5055.49+10421.44+8496.28+4248.14+4249.72+4581.25+4020.75</f>
        <v>46128.56</v>
      </c>
      <c r="T86" s="88">
        <f>S86/R86</f>
        <v>0.92257119999999992</v>
      </c>
      <c r="U86" s="87">
        <f>5055.49+5055.49+10421.44+8496.28+4248.14+4249.72+4581.25+4020.75</f>
        <v>46128.56</v>
      </c>
      <c r="V86" s="88">
        <f t="shared" si="25"/>
        <v>0.92257119999999992</v>
      </c>
      <c r="W86" s="87">
        <f>5055.49+5055.49+10421.44+8496.28+4248.14+4249.72+4581.25+4020.75</f>
        <v>46128.56</v>
      </c>
      <c r="X86" s="89">
        <f t="shared" si="26"/>
        <v>0.92257119999999992</v>
      </c>
      <c r="Y86" s="65"/>
    </row>
    <row r="87" spans="1:25" s="65" customFormat="1" ht="9" customHeight="1" x14ac:dyDescent="0.2">
      <c r="A87" s="91"/>
      <c r="B87" s="92"/>
      <c r="C87" s="93"/>
      <c r="D87" s="94"/>
      <c r="E87" s="95"/>
      <c r="F87" s="96"/>
      <c r="G87" s="97"/>
      <c r="H87" s="93"/>
      <c r="I87" s="98"/>
      <c r="J87" s="99"/>
      <c r="K87" s="100"/>
      <c r="L87" s="101"/>
      <c r="M87" s="101"/>
      <c r="N87" s="100"/>
      <c r="O87" s="101"/>
      <c r="P87" s="101"/>
      <c r="Q87" s="101"/>
      <c r="R87" s="100"/>
      <c r="S87" s="101"/>
      <c r="T87" s="102"/>
      <c r="U87" s="101"/>
      <c r="V87" s="102"/>
      <c r="W87" s="101"/>
      <c r="X87" s="103"/>
    </row>
    <row r="88" spans="1:25" s="76" customFormat="1" ht="39" customHeight="1" x14ac:dyDescent="0.2">
      <c r="A88" s="104" t="s">
        <v>46</v>
      </c>
      <c r="B88" s="105" t="s">
        <v>47</v>
      </c>
      <c r="C88" s="106"/>
      <c r="D88" s="107" t="s">
        <v>106</v>
      </c>
      <c r="E88" s="108" t="s">
        <v>73</v>
      </c>
      <c r="F88" s="105" t="s">
        <v>107</v>
      </c>
      <c r="G88" s="109"/>
      <c r="H88" s="109"/>
      <c r="I88" s="109"/>
      <c r="J88" s="106"/>
      <c r="K88" s="110">
        <f>SUM(K89:K90)</f>
        <v>25010327</v>
      </c>
      <c r="L88" s="110">
        <f>SUM(L89:L90)</f>
        <v>12250000</v>
      </c>
      <c r="M88" s="110">
        <f t="shared" ref="M88:S88" si="42">SUM(M89:M90)</f>
        <v>0</v>
      </c>
      <c r="N88" s="110">
        <f t="shared" si="42"/>
        <v>37260327</v>
      </c>
      <c r="O88" s="110">
        <f t="shared" si="42"/>
        <v>0</v>
      </c>
      <c r="P88" s="110">
        <f t="shared" si="42"/>
        <v>0</v>
      </c>
      <c r="Q88" s="110">
        <f t="shared" si="42"/>
        <v>0</v>
      </c>
      <c r="R88" s="110">
        <f t="shared" si="42"/>
        <v>37260327</v>
      </c>
      <c r="S88" s="110">
        <f t="shared" si="42"/>
        <v>28959570.239999998</v>
      </c>
      <c r="T88" s="111">
        <f>S88/R88</f>
        <v>0.77722265400408319</v>
      </c>
      <c r="U88" s="110">
        <f>SUM(U89:U90)</f>
        <v>28959570.239999998</v>
      </c>
      <c r="V88" s="111">
        <f>U88/R88</f>
        <v>0.77722265400408319</v>
      </c>
      <c r="W88" s="110">
        <f>SUM(W89:W90)</f>
        <v>28959570.239999998</v>
      </c>
      <c r="X88" s="112">
        <f>W88/R88</f>
        <v>0.77722265400408319</v>
      </c>
      <c r="Y88" s="75"/>
    </row>
    <row r="89" spans="1:25" s="90" customFormat="1" ht="39" customHeight="1" x14ac:dyDescent="0.2">
      <c r="A89" s="77" t="s">
        <v>46</v>
      </c>
      <c r="B89" s="78" t="s">
        <v>47</v>
      </c>
      <c r="C89" s="79" t="s">
        <v>108</v>
      </c>
      <c r="D89" s="80" t="s">
        <v>106</v>
      </c>
      <c r="E89" s="81" t="s">
        <v>73</v>
      </c>
      <c r="F89" s="82" t="s">
        <v>107</v>
      </c>
      <c r="G89" s="83">
        <v>1</v>
      </c>
      <c r="H89" s="79" t="s">
        <v>52</v>
      </c>
      <c r="I89" s="84" t="s">
        <v>53</v>
      </c>
      <c r="J89" s="85">
        <v>3</v>
      </c>
      <c r="K89" s="86">
        <v>25010327</v>
      </c>
      <c r="L89" s="87">
        <v>0</v>
      </c>
      <c r="M89" s="87">
        <v>0</v>
      </c>
      <c r="N89" s="86">
        <f t="shared" ref="N89:N116" si="43">K89+L89-M89</f>
        <v>25010327</v>
      </c>
      <c r="O89" s="87">
        <v>0</v>
      </c>
      <c r="P89" s="87">
        <v>0</v>
      </c>
      <c r="Q89" s="87">
        <v>0</v>
      </c>
      <c r="R89" s="86">
        <f t="shared" si="2"/>
        <v>25010327</v>
      </c>
      <c r="S89" s="87">
        <f>4376782.32+4405763.8+1259.28+11482179.17+2982543.84+1710074.24</f>
        <v>24958602.649999999</v>
      </c>
      <c r="T89" s="88">
        <f>S89/R89</f>
        <v>0.99793188029888613</v>
      </c>
      <c r="U89" s="87">
        <f>4376782.32+4405763.8+1259.28+11482179.17+2982543.84+1710074.24</f>
        <v>24958602.649999999</v>
      </c>
      <c r="V89" s="88">
        <f t="shared" si="25"/>
        <v>0.99793188029888613</v>
      </c>
      <c r="W89" s="87">
        <f>4376782.32+4405763.8+1259.28+11482179.17+2982543.84+1710074.24</f>
        <v>24958602.649999999</v>
      </c>
      <c r="X89" s="89">
        <f t="shared" si="26"/>
        <v>0.99793188029888613</v>
      </c>
      <c r="Y89" s="65"/>
    </row>
    <row r="90" spans="1:25" s="90" customFormat="1" ht="39" customHeight="1" x14ac:dyDescent="0.2">
      <c r="A90" s="77" t="s">
        <v>46</v>
      </c>
      <c r="B90" s="78" t="s">
        <v>47</v>
      </c>
      <c r="C90" s="79" t="s">
        <v>108</v>
      </c>
      <c r="D90" s="80" t="s">
        <v>106</v>
      </c>
      <c r="E90" s="81" t="s">
        <v>73</v>
      </c>
      <c r="F90" s="82" t="s">
        <v>107</v>
      </c>
      <c r="G90" s="83">
        <v>1</v>
      </c>
      <c r="H90" s="113" t="s">
        <v>61</v>
      </c>
      <c r="I90" s="114" t="s">
        <v>62</v>
      </c>
      <c r="J90" s="85">
        <v>3</v>
      </c>
      <c r="K90" s="86">
        <v>0</v>
      </c>
      <c r="L90" s="87">
        <f>12250000</f>
        <v>12250000</v>
      </c>
      <c r="M90" s="87">
        <v>0</v>
      </c>
      <c r="N90" s="86">
        <f t="shared" si="43"/>
        <v>12250000</v>
      </c>
      <c r="O90" s="87">
        <v>0</v>
      </c>
      <c r="P90" s="87">
        <v>0</v>
      </c>
      <c r="Q90" s="87">
        <v>0</v>
      </c>
      <c r="R90" s="86">
        <f t="shared" si="2"/>
        <v>12250000</v>
      </c>
      <c r="S90" s="87">
        <f>4000967.59</f>
        <v>4000967.59</v>
      </c>
      <c r="T90" s="88">
        <f>S90/R90</f>
        <v>0.32660959918367344</v>
      </c>
      <c r="U90" s="87">
        <f>4000967.59</f>
        <v>4000967.59</v>
      </c>
      <c r="V90" s="88">
        <f t="shared" si="25"/>
        <v>0.32660959918367344</v>
      </c>
      <c r="W90" s="87">
        <f>4000967.59</f>
        <v>4000967.59</v>
      </c>
      <c r="X90" s="89">
        <f t="shared" si="26"/>
        <v>0.32660959918367344</v>
      </c>
      <c r="Y90" s="65"/>
    </row>
    <row r="91" spans="1:25" s="65" customFormat="1" ht="9" customHeight="1" x14ac:dyDescent="0.2">
      <c r="A91" s="91"/>
      <c r="B91" s="92"/>
      <c r="C91" s="93"/>
      <c r="D91" s="94"/>
      <c r="E91" s="95"/>
      <c r="F91" s="96"/>
      <c r="G91" s="97"/>
      <c r="H91" s="93"/>
      <c r="I91" s="98"/>
      <c r="J91" s="99"/>
      <c r="K91" s="100"/>
      <c r="L91" s="101"/>
      <c r="M91" s="101"/>
      <c r="N91" s="100"/>
      <c r="O91" s="101"/>
      <c r="P91" s="101"/>
      <c r="Q91" s="101"/>
      <c r="R91" s="100"/>
      <c r="S91" s="101"/>
      <c r="T91" s="102"/>
      <c r="U91" s="101"/>
      <c r="V91" s="102"/>
      <c r="W91" s="101"/>
      <c r="X91" s="103"/>
    </row>
    <row r="92" spans="1:25" s="76" customFormat="1" ht="39" customHeight="1" x14ac:dyDescent="0.2">
      <c r="A92" s="104" t="s">
        <v>46</v>
      </c>
      <c r="B92" s="105" t="s">
        <v>47</v>
      </c>
      <c r="C92" s="106"/>
      <c r="D92" s="107" t="s">
        <v>109</v>
      </c>
      <c r="E92" s="108" t="s">
        <v>73</v>
      </c>
      <c r="F92" s="105" t="s">
        <v>110</v>
      </c>
      <c r="G92" s="109"/>
      <c r="H92" s="109"/>
      <c r="I92" s="109"/>
      <c r="J92" s="106"/>
      <c r="K92" s="110">
        <f>K93</f>
        <v>3299114</v>
      </c>
      <c r="L92" s="110">
        <f t="shared" ref="L92:S92" si="44">L93</f>
        <v>1227435</v>
      </c>
      <c r="M92" s="110">
        <f t="shared" si="44"/>
        <v>0</v>
      </c>
      <c r="N92" s="110">
        <f t="shared" si="44"/>
        <v>4526549</v>
      </c>
      <c r="O92" s="110">
        <f t="shared" si="44"/>
        <v>0</v>
      </c>
      <c r="P92" s="110">
        <f t="shared" si="44"/>
        <v>0</v>
      </c>
      <c r="Q92" s="110">
        <f t="shared" si="44"/>
        <v>0</v>
      </c>
      <c r="R92" s="110">
        <f t="shared" si="44"/>
        <v>4526549</v>
      </c>
      <c r="S92" s="110">
        <f t="shared" si="44"/>
        <v>3547792.4400000004</v>
      </c>
      <c r="T92" s="111">
        <f>S92/R92</f>
        <v>0.78377422623725057</v>
      </c>
      <c r="U92" s="110">
        <f>U93</f>
        <v>3547792.4400000004</v>
      </c>
      <c r="V92" s="111">
        <f>U92/R92</f>
        <v>0.78377422623725057</v>
      </c>
      <c r="W92" s="110">
        <f>W93</f>
        <v>3547792.4400000004</v>
      </c>
      <c r="X92" s="112">
        <f>W92/R92</f>
        <v>0.78377422623725057</v>
      </c>
      <c r="Y92" s="75"/>
    </row>
    <row r="93" spans="1:25" s="90" customFormat="1" ht="39" customHeight="1" x14ac:dyDescent="0.2">
      <c r="A93" s="77" t="s">
        <v>46</v>
      </c>
      <c r="B93" s="78" t="s">
        <v>47</v>
      </c>
      <c r="C93" s="79" t="s">
        <v>108</v>
      </c>
      <c r="D93" s="80" t="s">
        <v>109</v>
      </c>
      <c r="E93" s="81" t="s">
        <v>73</v>
      </c>
      <c r="F93" s="82" t="s">
        <v>110</v>
      </c>
      <c r="G93" s="83">
        <v>1</v>
      </c>
      <c r="H93" s="79" t="s">
        <v>52</v>
      </c>
      <c r="I93" s="84" t="s">
        <v>53</v>
      </c>
      <c r="J93" s="85">
        <v>3</v>
      </c>
      <c r="K93" s="86">
        <v>3299114</v>
      </c>
      <c r="L93" s="87">
        <f>1227435</f>
        <v>1227435</v>
      </c>
      <c r="M93" s="87">
        <v>0</v>
      </c>
      <c r="N93" s="86">
        <f t="shared" si="43"/>
        <v>4526549</v>
      </c>
      <c r="O93" s="87">
        <v>0</v>
      </c>
      <c r="P93" s="87">
        <v>0</v>
      </c>
      <c r="Q93" s="87">
        <v>0</v>
      </c>
      <c r="R93" s="86">
        <f t="shared" si="2"/>
        <v>4526549</v>
      </c>
      <c r="S93" s="87">
        <f>467536.32+470970.72+1295799.12+438286.68+436970.16+438229.44</f>
        <v>3547792.4400000004</v>
      </c>
      <c r="T93" s="88">
        <f>S93/R93</f>
        <v>0.78377422623725057</v>
      </c>
      <c r="U93" s="87">
        <f>467536.32+470970.72+1295799.12+438286.68+436970.16+438229.44</f>
        <v>3547792.4400000004</v>
      </c>
      <c r="V93" s="88">
        <f t="shared" si="25"/>
        <v>0.78377422623725057</v>
      </c>
      <c r="W93" s="87">
        <f>467536.32+470970.72+1295799.12+438286.68+436970.16+438229.44</f>
        <v>3547792.4400000004</v>
      </c>
      <c r="X93" s="89">
        <f t="shared" si="26"/>
        <v>0.78377422623725057</v>
      </c>
      <c r="Y93" s="65"/>
    </row>
    <row r="94" spans="1:25" s="65" customFormat="1" ht="9" customHeight="1" x14ac:dyDescent="0.2">
      <c r="A94" s="91"/>
      <c r="B94" s="92"/>
      <c r="C94" s="93"/>
      <c r="D94" s="94"/>
      <c r="E94" s="95"/>
      <c r="F94" s="96"/>
      <c r="G94" s="97"/>
      <c r="H94" s="93"/>
      <c r="I94" s="98"/>
      <c r="J94" s="99"/>
      <c r="K94" s="100"/>
      <c r="L94" s="101"/>
      <c r="M94" s="101"/>
      <c r="N94" s="100"/>
      <c r="O94" s="101"/>
      <c r="P94" s="101"/>
      <c r="Q94" s="101"/>
      <c r="R94" s="100"/>
      <c r="S94" s="101"/>
      <c r="T94" s="102"/>
      <c r="U94" s="101"/>
      <c r="V94" s="102"/>
      <c r="W94" s="101"/>
      <c r="X94" s="103"/>
    </row>
    <row r="95" spans="1:25" s="76" customFormat="1" ht="39" customHeight="1" x14ac:dyDescent="0.2">
      <c r="A95" s="104" t="s">
        <v>46</v>
      </c>
      <c r="B95" s="105" t="s">
        <v>47</v>
      </c>
      <c r="C95" s="106"/>
      <c r="D95" s="107" t="s">
        <v>111</v>
      </c>
      <c r="E95" s="108" t="s">
        <v>73</v>
      </c>
      <c r="F95" s="105" t="s">
        <v>112</v>
      </c>
      <c r="G95" s="109"/>
      <c r="H95" s="109"/>
      <c r="I95" s="109"/>
      <c r="J95" s="106"/>
      <c r="K95" s="110">
        <f>SUM(K96:K97)</f>
        <v>10771386</v>
      </c>
      <c r="L95" s="110">
        <f>SUM(L96:L97)</f>
        <v>4800000</v>
      </c>
      <c r="M95" s="110">
        <f t="shared" ref="M95:S95" si="45">SUM(M96:M97)</f>
        <v>0</v>
      </c>
      <c r="N95" s="110">
        <f t="shared" si="45"/>
        <v>15571386</v>
      </c>
      <c r="O95" s="110">
        <f t="shared" si="45"/>
        <v>0</v>
      </c>
      <c r="P95" s="110">
        <f t="shared" si="45"/>
        <v>0</v>
      </c>
      <c r="Q95" s="110">
        <f t="shared" si="45"/>
        <v>0</v>
      </c>
      <c r="R95" s="110">
        <f t="shared" si="45"/>
        <v>15571386</v>
      </c>
      <c r="S95" s="110">
        <f t="shared" si="45"/>
        <v>11982680.130000001</v>
      </c>
      <c r="T95" s="111">
        <f>S95/R95</f>
        <v>0.76953202046368907</v>
      </c>
      <c r="U95" s="110">
        <f>SUM(U96:U97)</f>
        <v>10726052.24</v>
      </c>
      <c r="V95" s="111">
        <f>U95/R95</f>
        <v>0.68883092616161468</v>
      </c>
      <c r="W95" s="110">
        <f>SUM(W96:W97)</f>
        <v>10726052.24</v>
      </c>
      <c r="X95" s="112">
        <f>W95/R95</f>
        <v>0.68883092616161468</v>
      </c>
      <c r="Y95" s="75"/>
    </row>
    <row r="96" spans="1:25" s="90" customFormat="1" ht="39" customHeight="1" x14ac:dyDescent="0.2">
      <c r="A96" s="77" t="s">
        <v>46</v>
      </c>
      <c r="B96" s="78" t="s">
        <v>47</v>
      </c>
      <c r="C96" s="79" t="s">
        <v>108</v>
      </c>
      <c r="D96" s="80" t="s">
        <v>111</v>
      </c>
      <c r="E96" s="81" t="s">
        <v>73</v>
      </c>
      <c r="F96" s="82" t="s">
        <v>112</v>
      </c>
      <c r="G96" s="83">
        <v>1</v>
      </c>
      <c r="H96" s="79" t="s">
        <v>52</v>
      </c>
      <c r="I96" s="84" t="s">
        <v>53</v>
      </c>
      <c r="J96" s="85">
        <v>3</v>
      </c>
      <c r="K96" s="86">
        <v>10771386</v>
      </c>
      <c r="L96" s="87">
        <f>4050000</f>
        <v>4050000</v>
      </c>
      <c r="M96" s="87">
        <v>0</v>
      </c>
      <c r="N96" s="86">
        <f t="shared" si="43"/>
        <v>14821386</v>
      </c>
      <c r="O96" s="87">
        <v>0</v>
      </c>
      <c r="P96" s="87">
        <v>0</v>
      </c>
      <c r="Q96" s="87">
        <v>0</v>
      </c>
      <c r="R96" s="86">
        <f t="shared" si="2"/>
        <v>14821386</v>
      </c>
      <c r="S96" s="87">
        <f>1271243.16+1263057.84+3764941.94+1254987+3177183.79+1251266.4</f>
        <v>11982680.130000001</v>
      </c>
      <c r="T96" s="88">
        <f>S96/R96</f>
        <v>0.80847230684093918</v>
      </c>
      <c r="U96" s="87">
        <f>1271243.16+1263057.84+2508314.05+1254987+3177183.79+1251266.4</f>
        <v>10726052.24</v>
      </c>
      <c r="V96" s="88">
        <f t="shared" si="25"/>
        <v>0.7236875309771974</v>
      </c>
      <c r="W96" s="87">
        <f>1271243.16+1263057.84+2508314.05+1254987+3177183.79+1251266.4</f>
        <v>10726052.24</v>
      </c>
      <c r="X96" s="89">
        <f t="shared" si="26"/>
        <v>0.7236875309771974</v>
      </c>
      <c r="Y96" s="65"/>
    </row>
    <row r="97" spans="1:25" s="90" customFormat="1" ht="39" customHeight="1" x14ac:dyDescent="0.2">
      <c r="A97" s="77" t="s">
        <v>46</v>
      </c>
      <c r="B97" s="78" t="s">
        <v>47</v>
      </c>
      <c r="C97" s="79" t="s">
        <v>108</v>
      </c>
      <c r="D97" s="80" t="s">
        <v>111</v>
      </c>
      <c r="E97" s="81" t="s">
        <v>73</v>
      </c>
      <c r="F97" s="82" t="s">
        <v>112</v>
      </c>
      <c r="G97" s="83">
        <v>1</v>
      </c>
      <c r="H97" s="113" t="s">
        <v>61</v>
      </c>
      <c r="I97" s="114" t="s">
        <v>62</v>
      </c>
      <c r="J97" s="85">
        <v>3</v>
      </c>
      <c r="K97" s="86">
        <v>0</v>
      </c>
      <c r="L97" s="87">
        <f>750000</f>
        <v>750000</v>
      </c>
      <c r="M97" s="87">
        <v>0</v>
      </c>
      <c r="N97" s="86">
        <f t="shared" si="43"/>
        <v>750000</v>
      </c>
      <c r="O97" s="87">
        <v>0</v>
      </c>
      <c r="P97" s="87">
        <v>0</v>
      </c>
      <c r="Q97" s="87">
        <v>0</v>
      </c>
      <c r="R97" s="86">
        <f t="shared" si="2"/>
        <v>750000</v>
      </c>
      <c r="S97" s="87">
        <v>0</v>
      </c>
      <c r="T97" s="88">
        <f>S97/R97</f>
        <v>0</v>
      </c>
      <c r="U97" s="87">
        <v>0</v>
      </c>
      <c r="V97" s="88">
        <f t="shared" si="25"/>
        <v>0</v>
      </c>
      <c r="W97" s="87">
        <v>0</v>
      </c>
      <c r="X97" s="89">
        <f t="shared" si="26"/>
        <v>0</v>
      </c>
      <c r="Y97" s="65"/>
    </row>
    <row r="98" spans="1:25" s="65" customFormat="1" ht="9" customHeight="1" x14ac:dyDescent="0.2">
      <c r="A98" s="91"/>
      <c r="B98" s="92"/>
      <c r="C98" s="93"/>
      <c r="D98" s="94"/>
      <c r="E98" s="95"/>
      <c r="F98" s="96"/>
      <c r="G98" s="97"/>
      <c r="H98" s="93"/>
      <c r="I98" s="98"/>
      <c r="J98" s="99"/>
      <c r="K98" s="100"/>
      <c r="L98" s="101"/>
      <c r="M98" s="101"/>
      <c r="N98" s="100"/>
      <c r="O98" s="101"/>
      <c r="P98" s="101"/>
      <c r="Q98" s="101"/>
      <c r="R98" s="100"/>
      <c r="S98" s="101"/>
      <c r="T98" s="102"/>
      <c r="U98" s="101"/>
      <c r="V98" s="102"/>
      <c r="W98" s="101"/>
      <c r="X98" s="103"/>
    </row>
    <row r="99" spans="1:25" s="76" customFormat="1" ht="39" customHeight="1" x14ac:dyDescent="0.2">
      <c r="A99" s="104" t="s">
        <v>46</v>
      </c>
      <c r="B99" s="105" t="s">
        <v>47</v>
      </c>
      <c r="C99" s="106"/>
      <c r="D99" s="107" t="s">
        <v>113</v>
      </c>
      <c r="E99" s="108" t="s">
        <v>73</v>
      </c>
      <c r="F99" s="105" t="s">
        <v>114</v>
      </c>
      <c r="G99" s="109"/>
      <c r="H99" s="109"/>
      <c r="I99" s="109"/>
      <c r="J99" s="106"/>
      <c r="K99" s="110">
        <f>SUM(K100:K100)</f>
        <v>16000040</v>
      </c>
      <c r="L99" s="110">
        <f t="shared" ref="L99:S99" si="46">SUM(L100:L100)</f>
        <v>0</v>
      </c>
      <c r="M99" s="110">
        <f t="shared" si="46"/>
        <v>2500000</v>
      </c>
      <c r="N99" s="110">
        <f t="shared" si="46"/>
        <v>13500040</v>
      </c>
      <c r="O99" s="110">
        <f t="shared" si="46"/>
        <v>0</v>
      </c>
      <c r="P99" s="110">
        <f t="shared" si="46"/>
        <v>0</v>
      </c>
      <c r="Q99" s="110">
        <f t="shared" si="46"/>
        <v>0</v>
      </c>
      <c r="R99" s="110">
        <f t="shared" si="46"/>
        <v>13500040</v>
      </c>
      <c r="S99" s="110">
        <f t="shared" si="46"/>
        <v>11024417.279999999</v>
      </c>
      <c r="T99" s="111">
        <f>S99/R99</f>
        <v>0.81662108260419963</v>
      </c>
      <c r="U99" s="110">
        <f>SUM(U100:U100)</f>
        <v>9941458.2200000007</v>
      </c>
      <c r="V99" s="111">
        <f>U99/R99</f>
        <v>0.73640213066035365</v>
      </c>
      <c r="W99" s="110">
        <f>SUM(W100:W100)</f>
        <v>9941458.2200000007</v>
      </c>
      <c r="X99" s="112">
        <f>W99/R99</f>
        <v>0.73640213066035365</v>
      </c>
      <c r="Y99" s="75"/>
    </row>
    <row r="100" spans="1:25" s="90" customFormat="1" ht="39" customHeight="1" x14ac:dyDescent="0.2">
      <c r="A100" s="77" t="s">
        <v>46</v>
      </c>
      <c r="B100" s="78" t="s">
        <v>47</v>
      </c>
      <c r="C100" s="79" t="s">
        <v>108</v>
      </c>
      <c r="D100" s="80" t="s">
        <v>113</v>
      </c>
      <c r="E100" s="81" t="s">
        <v>73</v>
      </c>
      <c r="F100" s="82" t="s">
        <v>114</v>
      </c>
      <c r="G100" s="83">
        <v>1</v>
      </c>
      <c r="H100" s="79" t="s">
        <v>52</v>
      </c>
      <c r="I100" s="84" t="s">
        <v>53</v>
      </c>
      <c r="J100" s="85">
        <v>3</v>
      </c>
      <c r="K100" s="86">
        <v>16000040</v>
      </c>
      <c r="L100" s="87">
        <v>0</v>
      </c>
      <c r="M100" s="87">
        <f>2500000</f>
        <v>2500000</v>
      </c>
      <c r="N100" s="86">
        <f t="shared" si="43"/>
        <v>13500040</v>
      </c>
      <c r="O100" s="87">
        <v>0</v>
      </c>
      <c r="P100" s="87">
        <v>0</v>
      </c>
      <c r="Q100" s="87">
        <v>0</v>
      </c>
      <c r="R100" s="86">
        <f t="shared" si="2"/>
        <v>13500040</v>
      </c>
      <c r="S100" s="87">
        <f>1322527.14+1307613.05+3471700.26+1074788.1+1209883.73+1236804.44+1401100.56</f>
        <v>11024417.279999999</v>
      </c>
      <c r="T100" s="88">
        <f>S100/R100</f>
        <v>0.81662108260419963</v>
      </c>
      <c r="U100" s="87">
        <f>1322527.14+1307613.05+2388741.2+1074788.1+1209883.73+1236804.44+1401100.56</f>
        <v>9941458.2200000007</v>
      </c>
      <c r="V100" s="88">
        <f t="shared" si="25"/>
        <v>0.73640213066035365</v>
      </c>
      <c r="W100" s="87">
        <f>1322527.14+1307613.05+2388741.2+1074788.1+1209883.73+1236804.44+1401100.56</f>
        <v>9941458.2200000007</v>
      </c>
      <c r="X100" s="89">
        <f t="shared" si="26"/>
        <v>0.73640213066035365</v>
      </c>
      <c r="Y100" s="65"/>
    </row>
    <row r="101" spans="1:25" s="65" customFormat="1" ht="9" customHeight="1" x14ac:dyDescent="0.2">
      <c r="A101" s="91"/>
      <c r="B101" s="92"/>
      <c r="C101" s="93"/>
      <c r="D101" s="94"/>
      <c r="E101" s="95"/>
      <c r="F101" s="96"/>
      <c r="G101" s="97"/>
      <c r="H101" s="93"/>
      <c r="I101" s="98"/>
      <c r="J101" s="99"/>
      <c r="K101" s="100"/>
      <c r="L101" s="101"/>
      <c r="M101" s="101"/>
      <c r="N101" s="100"/>
      <c r="O101" s="101"/>
      <c r="P101" s="101"/>
      <c r="Q101" s="101"/>
      <c r="R101" s="100"/>
      <c r="S101" s="101"/>
      <c r="T101" s="102"/>
      <c r="U101" s="101"/>
      <c r="V101" s="102"/>
      <c r="W101" s="101"/>
      <c r="X101" s="103"/>
    </row>
    <row r="102" spans="1:25" s="76" customFormat="1" ht="39" customHeight="1" x14ac:dyDescent="0.2">
      <c r="A102" s="104" t="s">
        <v>46</v>
      </c>
      <c r="B102" s="105" t="s">
        <v>47</v>
      </c>
      <c r="C102" s="106"/>
      <c r="D102" s="107" t="s">
        <v>115</v>
      </c>
      <c r="E102" s="108" t="s">
        <v>73</v>
      </c>
      <c r="F102" s="105" t="s">
        <v>116</v>
      </c>
      <c r="G102" s="109"/>
      <c r="H102" s="109"/>
      <c r="I102" s="109"/>
      <c r="J102" s="106"/>
      <c r="K102" s="110">
        <f>K103</f>
        <v>507895</v>
      </c>
      <c r="L102" s="110">
        <f t="shared" ref="L102:S102" si="47">L103</f>
        <v>0</v>
      </c>
      <c r="M102" s="110">
        <f t="shared" si="47"/>
        <v>85000</v>
      </c>
      <c r="N102" s="110">
        <f t="shared" si="47"/>
        <v>422895</v>
      </c>
      <c r="O102" s="110">
        <f t="shared" si="47"/>
        <v>0</v>
      </c>
      <c r="P102" s="110">
        <f t="shared" si="47"/>
        <v>0</v>
      </c>
      <c r="Q102" s="110">
        <f t="shared" si="47"/>
        <v>0</v>
      </c>
      <c r="R102" s="110">
        <f t="shared" si="47"/>
        <v>422895</v>
      </c>
      <c r="S102" s="110">
        <f t="shared" si="47"/>
        <v>360659.16000000003</v>
      </c>
      <c r="T102" s="111">
        <f>S102/R102</f>
        <v>0.85283382399886509</v>
      </c>
      <c r="U102" s="110">
        <f>U103</f>
        <v>360659.16000000003</v>
      </c>
      <c r="V102" s="111">
        <f>U102/R102</f>
        <v>0.85283382399886509</v>
      </c>
      <c r="W102" s="110">
        <f>W103</f>
        <v>360659.16000000003</v>
      </c>
      <c r="X102" s="112">
        <f>W102/R102</f>
        <v>0.85283382399886509</v>
      </c>
      <c r="Y102" s="75"/>
    </row>
    <row r="103" spans="1:25" s="90" customFormat="1" ht="39" customHeight="1" x14ac:dyDescent="0.2">
      <c r="A103" s="77" t="s">
        <v>46</v>
      </c>
      <c r="B103" s="78" t="s">
        <v>47</v>
      </c>
      <c r="C103" s="79" t="s">
        <v>108</v>
      </c>
      <c r="D103" s="80" t="s">
        <v>115</v>
      </c>
      <c r="E103" s="81" t="s">
        <v>73</v>
      </c>
      <c r="F103" s="82" t="s">
        <v>116</v>
      </c>
      <c r="G103" s="83">
        <v>1</v>
      </c>
      <c r="H103" s="79" t="s">
        <v>52</v>
      </c>
      <c r="I103" s="84" t="s">
        <v>53</v>
      </c>
      <c r="J103" s="85">
        <v>3</v>
      </c>
      <c r="K103" s="86">
        <v>507895</v>
      </c>
      <c r="L103" s="87">
        <v>0</v>
      </c>
      <c r="M103" s="87">
        <f>85000</f>
        <v>85000</v>
      </c>
      <c r="N103" s="86">
        <f t="shared" si="43"/>
        <v>422895</v>
      </c>
      <c r="O103" s="87">
        <v>0</v>
      </c>
      <c r="P103" s="87">
        <v>0</v>
      </c>
      <c r="Q103" s="87">
        <v>0</v>
      </c>
      <c r="R103" s="86">
        <f t="shared" si="2"/>
        <v>422895</v>
      </c>
      <c r="S103" s="87">
        <f>41776.48+41150.08+95715.84+26994.88+26994.88+38205.28+37686.88+52134.84</f>
        <v>360659.16000000003</v>
      </c>
      <c r="T103" s="88">
        <f>S103/R103</f>
        <v>0.85283382399886509</v>
      </c>
      <c r="U103" s="87">
        <f>41776.48+41150.08+95715.84+26994.88+26994.88+38205.28+37686.88+52134.84</f>
        <v>360659.16000000003</v>
      </c>
      <c r="V103" s="88">
        <f t="shared" si="25"/>
        <v>0.85283382399886509</v>
      </c>
      <c r="W103" s="87">
        <f>41776.48+41150.08+95715.84+26994.88+26994.88+38205.28+37686.88+52134.84</f>
        <v>360659.16000000003</v>
      </c>
      <c r="X103" s="89">
        <f t="shared" si="26"/>
        <v>0.85283382399886509</v>
      </c>
      <c r="Y103" s="65"/>
    </row>
    <row r="104" spans="1:25" s="65" customFormat="1" ht="9" customHeight="1" x14ac:dyDescent="0.2">
      <c r="A104" s="91"/>
      <c r="B104" s="92"/>
      <c r="C104" s="93"/>
      <c r="D104" s="94"/>
      <c r="E104" s="95"/>
      <c r="F104" s="96"/>
      <c r="G104" s="97"/>
      <c r="H104" s="93"/>
      <c r="I104" s="98"/>
      <c r="J104" s="99"/>
      <c r="K104" s="100"/>
      <c r="L104" s="101"/>
      <c r="M104" s="101"/>
      <c r="N104" s="100"/>
      <c r="O104" s="101"/>
      <c r="P104" s="101"/>
      <c r="Q104" s="101"/>
      <c r="R104" s="100"/>
      <c r="S104" s="101"/>
      <c r="T104" s="102"/>
      <c r="U104" s="101"/>
      <c r="V104" s="102"/>
      <c r="W104" s="101"/>
      <c r="X104" s="103"/>
    </row>
    <row r="105" spans="1:25" s="76" customFormat="1" ht="39" customHeight="1" x14ac:dyDescent="0.2">
      <c r="A105" s="104" t="s">
        <v>46</v>
      </c>
      <c r="B105" s="105" t="s">
        <v>47</v>
      </c>
      <c r="C105" s="106"/>
      <c r="D105" s="107" t="s">
        <v>117</v>
      </c>
      <c r="E105" s="108" t="s">
        <v>73</v>
      </c>
      <c r="F105" s="105" t="s">
        <v>118</v>
      </c>
      <c r="G105" s="109"/>
      <c r="H105" s="109"/>
      <c r="I105" s="109"/>
      <c r="J105" s="106"/>
      <c r="K105" s="110">
        <f>K106</f>
        <v>1075396</v>
      </c>
      <c r="L105" s="110">
        <f t="shared" ref="L105:S105" si="48">L106</f>
        <v>0</v>
      </c>
      <c r="M105" s="110">
        <f t="shared" si="48"/>
        <v>400000</v>
      </c>
      <c r="N105" s="110">
        <f t="shared" si="48"/>
        <v>675396</v>
      </c>
      <c r="O105" s="110">
        <f t="shared" si="48"/>
        <v>0</v>
      </c>
      <c r="P105" s="110">
        <f t="shared" si="48"/>
        <v>0</v>
      </c>
      <c r="Q105" s="110">
        <f t="shared" si="48"/>
        <v>0</v>
      </c>
      <c r="R105" s="110">
        <f t="shared" si="48"/>
        <v>675396</v>
      </c>
      <c r="S105" s="110">
        <f t="shared" si="48"/>
        <v>600554.44000000006</v>
      </c>
      <c r="T105" s="111">
        <f>S105/R105</f>
        <v>0.88918862415531041</v>
      </c>
      <c r="U105" s="110">
        <f>U106</f>
        <v>428049.48</v>
      </c>
      <c r="V105" s="111">
        <f>U105/R105</f>
        <v>0.63377556278094627</v>
      </c>
      <c r="W105" s="110">
        <f>W106</f>
        <v>428049.48</v>
      </c>
      <c r="X105" s="112">
        <f>W105/R105</f>
        <v>0.63377556278094627</v>
      </c>
      <c r="Y105" s="75"/>
    </row>
    <row r="106" spans="1:25" s="90" customFormat="1" ht="39" customHeight="1" x14ac:dyDescent="0.2">
      <c r="A106" s="77" t="s">
        <v>46</v>
      </c>
      <c r="B106" s="78" t="s">
        <v>47</v>
      </c>
      <c r="C106" s="79" t="s">
        <v>108</v>
      </c>
      <c r="D106" s="80" t="s">
        <v>117</v>
      </c>
      <c r="E106" s="81" t="s">
        <v>73</v>
      </c>
      <c r="F106" s="82" t="s">
        <v>118</v>
      </c>
      <c r="G106" s="83">
        <v>1</v>
      </c>
      <c r="H106" s="79" t="s">
        <v>52</v>
      </c>
      <c r="I106" s="84" t="s">
        <v>53</v>
      </c>
      <c r="J106" s="85">
        <v>3</v>
      </c>
      <c r="K106" s="86">
        <v>1075396</v>
      </c>
      <c r="L106" s="87">
        <v>0</v>
      </c>
      <c r="M106" s="87">
        <f>400000</f>
        <v>400000</v>
      </c>
      <c r="N106" s="86">
        <f t="shared" si="43"/>
        <v>675396</v>
      </c>
      <c r="O106" s="87">
        <v>0</v>
      </c>
      <c r="P106" s="87">
        <v>0</v>
      </c>
      <c r="Q106" s="87">
        <v>0</v>
      </c>
      <c r="R106" s="86">
        <f t="shared" si="2"/>
        <v>675396</v>
      </c>
      <c r="S106" s="87">
        <f>84226.92+84531.7+189580.76+8435.9+8435.9+59327.9+58768.3+107247.06</f>
        <v>600554.44000000006</v>
      </c>
      <c r="T106" s="88">
        <f>S106/R106</f>
        <v>0.88918862415531041</v>
      </c>
      <c r="U106" s="87">
        <f>84226.92+84531.7+17075.8+8435.9+8435.9+59327.9+58768.3+107247.06</f>
        <v>428049.48</v>
      </c>
      <c r="V106" s="88">
        <f t="shared" si="25"/>
        <v>0.63377556278094627</v>
      </c>
      <c r="W106" s="87">
        <f>84226.92+84531.7+17075.8+8435.9+8435.9+59327.9+58768.3+107247.06</f>
        <v>428049.48</v>
      </c>
      <c r="X106" s="89">
        <f t="shared" si="26"/>
        <v>0.63377556278094627</v>
      </c>
      <c r="Y106" s="65"/>
    </row>
    <row r="107" spans="1:25" s="65" customFormat="1" ht="9" customHeight="1" x14ac:dyDescent="0.2">
      <c r="A107" s="91"/>
      <c r="B107" s="92"/>
      <c r="C107" s="93"/>
      <c r="D107" s="94"/>
      <c r="E107" s="95"/>
      <c r="F107" s="96"/>
      <c r="G107" s="97"/>
      <c r="H107" s="93"/>
      <c r="I107" s="98"/>
      <c r="J107" s="99"/>
      <c r="K107" s="100"/>
      <c r="L107" s="101"/>
      <c r="M107" s="101"/>
      <c r="N107" s="100"/>
      <c r="O107" s="101"/>
      <c r="P107" s="101"/>
      <c r="Q107" s="101"/>
      <c r="R107" s="100"/>
      <c r="S107" s="101"/>
      <c r="T107" s="102"/>
      <c r="U107" s="101"/>
      <c r="V107" s="102"/>
      <c r="W107" s="101"/>
      <c r="X107" s="103"/>
    </row>
    <row r="108" spans="1:25" s="76" customFormat="1" ht="39" customHeight="1" x14ac:dyDescent="0.2">
      <c r="A108" s="104" t="s">
        <v>46</v>
      </c>
      <c r="B108" s="105" t="s">
        <v>47</v>
      </c>
      <c r="C108" s="106"/>
      <c r="D108" s="107" t="s">
        <v>119</v>
      </c>
      <c r="E108" s="108" t="s">
        <v>73</v>
      </c>
      <c r="F108" s="105" t="s">
        <v>120</v>
      </c>
      <c r="G108" s="109"/>
      <c r="H108" s="109"/>
      <c r="I108" s="109"/>
      <c r="J108" s="106"/>
      <c r="K108" s="110">
        <f>K109</f>
        <v>3000774</v>
      </c>
      <c r="L108" s="110">
        <f t="shared" ref="L108:S108" si="49">L109</f>
        <v>550000</v>
      </c>
      <c r="M108" s="110">
        <f t="shared" si="49"/>
        <v>0</v>
      </c>
      <c r="N108" s="110">
        <f t="shared" si="49"/>
        <v>3550774</v>
      </c>
      <c r="O108" s="110">
        <f t="shared" si="49"/>
        <v>0</v>
      </c>
      <c r="P108" s="110">
        <f t="shared" si="49"/>
        <v>0</v>
      </c>
      <c r="Q108" s="110">
        <f t="shared" si="49"/>
        <v>0</v>
      </c>
      <c r="R108" s="110">
        <f t="shared" si="49"/>
        <v>3550774</v>
      </c>
      <c r="S108" s="110">
        <f t="shared" si="49"/>
        <v>2750229.81</v>
      </c>
      <c r="T108" s="111">
        <f>S108/R108</f>
        <v>0.77454375017953836</v>
      </c>
      <c r="U108" s="110">
        <f>U109</f>
        <v>1964439.0899999999</v>
      </c>
      <c r="V108" s="111">
        <f>U108/R108</f>
        <v>0.55324250149404042</v>
      </c>
      <c r="W108" s="110">
        <f>W109</f>
        <v>1964439.0899999999</v>
      </c>
      <c r="X108" s="112">
        <f>W108/R108</f>
        <v>0.55324250149404042</v>
      </c>
      <c r="Y108" s="75"/>
    </row>
    <row r="109" spans="1:25" s="90" customFormat="1" ht="39" customHeight="1" x14ac:dyDescent="0.2">
      <c r="A109" s="77" t="s">
        <v>46</v>
      </c>
      <c r="B109" s="78" t="s">
        <v>47</v>
      </c>
      <c r="C109" s="79" t="s">
        <v>108</v>
      </c>
      <c r="D109" s="80" t="s">
        <v>119</v>
      </c>
      <c r="E109" s="81" t="s">
        <v>73</v>
      </c>
      <c r="F109" s="82" t="s">
        <v>120</v>
      </c>
      <c r="G109" s="83">
        <v>1</v>
      </c>
      <c r="H109" s="79" t="s">
        <v>52</v>
      </c>
      <c r="I109" s="84" t="s">
        <v>53</v>
      </c>
      <c r="J109" s="85">
        <v>3</v>
      </c>
      <c r="K109" s="86">
        <v>3000774</v>
      </c>
      <c r="L109" s="87">
        <v>550000</v>
      </c>
      <c r="M109" s="87">
        <v>0</v>
      </c>
      <c r="N109" s="86">
        <f t="shared" ref="N109" si="50">K109+L109-M109</f>
        <v>3550774</v>
      </c>
      <c r="O109" s="87">
        <v>0</v>
      </c>
      <c r="P109" s="87">
        <v>0</v>
      </c>
      <c r="Q109" s="87">
        <v>0</v>
      </c>
      <c r="R109" s="86">
        <f t="shared" ref="R109" si="51">N109-O109+P109+Q109</f>
        <v>3550774</v>
      </c>
      <c r="S109" s="87">
        <f>2480.85+1571581.44+391636.08+392895.36+391636.08</f>
        <v>2750229.81</v>
      </c>
      <c r="T109" s="88">
        <f>S109/R109</f>
        <v>0.77454375017953836</v>
      </c>
      <c r="U109" s="87">
        <f>2480.85+785790.72+391636.08+392895.36+391636.08</f>
        <v>1964439.0899999999</v>
      </c>
      <c r="V109" s="88">
        <f t="shared" ref="V109" si="52">U109/R109</f>
        <v>0.55324250149404042</v>
      </c>
      <c r="W109" s="87">
        <f>2480.85+785790.72+391636.08+392895.36+391636.08</f>
        <v>1964439.0899999999</v>
      </c>
      <c r="X109" s="89">
        <f t="shared" ref="X109" si="53">W109/R109</f>
        <v>0.55324250149404042</v>
      </c>
      <c r="Y109" s="65"/>
    </row>
    <row r="110" spans="1:25" s="65" customFormat="1" ht="9" customHeight="1" x14ac:dyDescent="0.2">
      <c r="A110" s="91"/>
      <c r="B110" s="92"/>
      <c r="C110" s="93"/>
      <c r="D110" s="94"/>
      <c r="E110" s="95"/>
      <c r="F110" s="96"/>
      <c r="G110" s="97"/>
      <c r="H110" s="93"/>
      <c r="I110" s="98"/>
      <c r="J110" s="99"/>
      <c r="K110" s="100"/>
      <c r="L110" s="101"/>
      <c r="M110" s="101"/>
      <c r="N110" s="100"/>
      <c r="O110" s="101"/>
      <c r="P110" s="101"/>
      <c r="Q110" s="101"/>
      <c r="R110" s="100"/>
      <c r="S110" s="101"/>
      <c r="T110" s="102"/>
      <c r="U110" s="101"/>
      <c r="V110" s="102"/>
      <c r="W110" s="101"/>
      <c r="X110" s="103"/>
    </row>
    <row r="111" spans="1:25" s="76" customFormat="1" ht="39" customHeight="1" x14ac:dyDescent="0.2">
      <c r="A111" s="104" t="s">
        <v>46</v>
      </c>
      <c r="B111" s="105" t="s">
        <v>47</v>
      </c>
      <c r="C111" s="106"/>
      <c r="D111" s="107" t="s">
        <v>121</v>
      </c>
      <c r="E111" s="108" t="s">
        <v>73</v>
      </c>
      <c r="F111" s="105" t="s">
        <v>122</v>
      </c>
      <c r="G111" s="109"/>
      <c r="H111" s="109"/>
      <c r="I111" s="109"/>
      <c r="J111" s="106"/>
      <c r="K111" s="110">
        <f>K112</f>
        <v>464402</v>
      </c>
      <c r="L111" s="110">
        <f>L112</f>
        <v>0</v>
      </c>
      <c r="M111" s="110">
        <f t="shared" ref="M111:S111" si="54">M112</f>
        <v>0</v>
      </c>
      <c r="N111" s="110">
        <f t="shared" si="54"/>
        <v>464402</v>
      </c>
      <c r="O111" s="110">
        <f t="shared" si="54"/>
        <v>0</v>
      </c>
      <c r="P111" s="110">
        <f t="shared" si="54"/>
        <v>0</v>
      </c>
      <c r="Q111" s="110">
        <f t="shared" si="54"/>
        <v>0</v>
      </c>
      <c r="R111" s="110">
        <f t="shared" si="54"/>
        <v>464402</v>
      </c>
      <c r="S111" s="110">
        <f t="shared" si="54"/>
        <v>298449.36</v>
      </c>
      <c r="T111" s="111">
        <f>S111/R111</f>
        <v>0.6426530462831771</v>
      </c>
      <c r="U111" s="110">
        <f>U112</f>
        <v>261930.23999999999</v>
      </c>
      <c r="V111" s="111">
        <f>U111/R111</f>
        <v>0.56401617564093176</v>
      </c>
      <c r="W111" s="110">
        <f>W112</f>
        <v>261930.23999999999</v>
      </c>
      <c r="X111" s="112">
        <f>W111/R111</f>
        <v>0.56401617564093176</v>
      </c>
      <c r="Y111" s="75"/>
    </row>
    <row r="112" spans="1:25" s="90" customFormat="1" ht="39" customHeight="1" x14ac:dyDescent="0.2">
      <c r="A112" s="77" t="s">
        <v>46</v>
      </c>
      <c r="B112" s="78" t="s">
        <v>47</v>
      </c>
      <c r="C112" s="79" t="s">
        <v>108</v>
      </c>
      <c r="D112" s="80" t="s">
        <v>121</v>
      </c>
      <c r="E112" s="81" t="s">
        <v>73</v>
      </c>
      <c r="F112" s="82" t="s">
        <v>122</v>
      </c>
      <c r="G112" s="83">
        <v>1</v>
      </c>
      <c r="H112" s="79" t="s">
        <v>52</v>
      </c>
      <c r="I112" s="84" t="s">
        <v>53</v>
      </c>
      <c r="J112" s="85">
        <v>3</v>
      </c>
      <c r="K112" s="86">
        <v>464402</v>
      </c>
      <c r="L112" s="87">
        <v>0</v>
      </c>
      <c r="M112" s="87">
        <v>0</v>
      </c>
      <c r="N112" s="86">
        <f t="shared" ref="N112" si="55">K112+L112-M112</f>
        <v>464402</v>
      </c>
      <c r="O112" s="87">
        <v>0</v>
      </c>
      <c r="P112" s="87">
        <v>0</v>
      </c>
      <c r="Q112" s="87">
        <v>0</v>
      </c>
      <c r="R112" s="86">
        <f t="shared" ref="R112" si="56">N112-O112+P112+Q112</f>
        <v>464402</v>
      </c>
      <c r="S112" s="87">
        <f>110816.64+36519.12+37778.4+37778.4+37778.4+37778.4</f>
        <v>298449.36</v>
      </c>
      <c r="T112" s="88">
        <f>S112/R112</f>
        <v>0.6426530462831771</v>
      </c>
      <c r="U112" s="87">
        <f>74297.52+36519.12+37778.4+37778.4+37778.4+37778.4</f>
        <v>261930.23999999999</v>
      </c>
      <c r="V112" s="88">
        <f t="shared" ref="V112" si="57">U112/R112</f>
        <v>0.56401617564093176</v>
      </c>
      <c r="W112" s="87">
        <f>74297.52+36519.12+37778.4+37778.4+37778.4+37778.4</f>
        <v>261930.23999999999</v>
      </c>
      <c r="X112" s="89">
        <f t="shared" ref="X112" si="58">W112/R112</f>
        <v>0.56401617564093176</v>
      </c>
      <c r="Y112" s="65"/>
    </row>
    <row r="113" spans="1:25" s="65" customFormat="1" ht="9" customHeight="1" x14ac:dyDescent="0.2">
      <c r="A113" s="91"/>
      <c r="B113" s="92"/>
      <c r="C113" s="93"/>
      <c r="D113" s="94"/>
      <c r="E113" s="95"/>
      <c r="F113" s="96"/>
      <c r="G113" s="97"/>
      <c r="H113" s="93"/>
      <c r="I113" s="98"/>
      <c r="J113" s="99"/>
      <c r="K113" s="100"/>
      <c r="L113" s="101"/>
      <c r="M113" s="101"/>
      <c r="N113" s="100"/>
      <c r="O113" s="101"/>
      <c r="P113" s="101"/>
      <c r="Q113" s="101"/>
      <c r="R113" s="100"/>
      <c r="S113" s="101"/>
      <c r="T113" s="102"/>
      <c r="U113" s="101"/>
      <c r="V113" s="102"/>
      <c r="W113" s="101"/>
      <c r="X113" s="103"/>
    </row>
    <row r="114" spans="1:25" s="76" customFormat="1" ht="39" customHeight="1" x14ac:dyDescent="0.2">
      <c r="A114" s="104" t="s">
        <v>46</v>
      </c>
      <c r="B114" s="105" t="s">
        <v>47</v>
      </c>
      <c r="C114" s="106"/>
      <c r="D114" s="107" t="s">
        <v>123</v>
      </c>
      <c r="E114" s="108" t="s">
        <v>124</v>
      </c>
      <c r="F114" s="105" t="s">
        <v>125</v>
      </c>
      <c r="G114" s="109"/>
      <c r="H114" s="109"/>
      <c r="I114" s="109"/>
      <c r="J114" s="106"/>
      <c r="K114" s="110">
        <f>SUM(K115:K116)</f>
        <v>0</v>
      </c>
      <c r="L114" s="110">
        <f>SUM(L115:L116)</f>
        <v>0</v>
      </c>
      <c r="M114" s="110">
        <f t="shared" ref="M114:S114" si="59">SUM(M115:M116)</f>
        <v>0</v>
      </c>
      <c r="N114" s="110">
        <f t="shared" si="59"/>
        <v>0</v>
      </c>
      <c r="O114" s="110">
        <f t="shared" si="59"/>
        <v>0</v>
      </c>
      <c r="P114" s="110">
        <f t="shared" si="59"/>
        <v>0</v>
      </c>
      <c r="Q114" s="110">
        <f t="shared" si="59"/>
        <v>0</v>
      </c>
      <c r="R114" s="110">
        <f t="shared" si="59"/>
        <v>0</v>
      </c>
      <c r="S114" s="110">
        <f t="shared" si="59"/>
        <v>0</v>
      </c>
      <c r="T114" s="111">
        <v>0</v>
      </c>
      <c r="U114" s="110">
        <f>SUM(U115:U116)</f>
        <v>0</v>
      </c>
      <c r="V114" s="111">
        <v>0</v>
      </c>
      <c r="W114" s="110">
        <f>SUM(W115:W116)</f>
        <v>0</v>
      </c>
      <c r="X114" s="112">
        <v>0</v>
      </c>
      <c r="Y114" s="75"/>
    </row>
    <row r="115" spans="1:25" s="90" customFormat="1" ht="39" customHeight="1" x14ac:dyDescent="0.2">
      <c r="A115" s="77" t="s">
        <v>46</v>
      </c>
      <c r="B115" s="78" t="s">
        <v>47</v>
      </c>
      <c r="C115" s="79" t="s">
        <v>126</v>
      </c>
      <c r="D115" s="80" t="s">
        <v>127</v>
      </c>
      <c r="E115" s="81" t="s">
        <v>124</v>
      </c>
      <c r="F115" s="82" t="s">
        <v>128</v>
      </c>
      <c r="G115" s="83">
        <v>2</v>
      </c>
      <c r="H115" s="79" t="s">
        <v>68</v>
      </c>
      <c r="I115" s="84" t="s">
        <v>69</v>
      </c>
      <c r="J115" s="85">
        <v>3</v>
      </c>
      <c r="K115" s="86">
        <v>0</v>
      </c>
      <c r="L115" s="87">
        <v>0</v>
      </c>
      <c r="M115" s="87">
        <v>0</v>
      </c>
      <c r="N115" s="86">
        <f t="shared" si="43"/>
        <v>0</v>
      </c>
      <c r="O115" s="87">
        <v>0</v>
      </c>
      <c r="P115" s="87">
        <v>0</v>
      </c>
      <c r="Q115" s="87">
        <f>5929305-5929305</f>
        <v>0</v>
      </c>
      <c r="R115" s="86">
        <f t="shared" si="2"/>
        <v>0</v>
      </c>
      <c r="S115" s="87">
        <v>0</v>
      </c>
      <c r="T115" s="88">
        <v>0</v>
      </c>
      <c r="U115" s="87">
        <v>0</v>
      </c>
      <c r="V115" s="88">
        <v>0</v>
      </c>
      <c r="W115" s="87">
        <v>0</v>
      </c>
      <c r="X115" s="89">
        <v>0</v>
      </c>
      <c r="Y115" s="65"/>
    </row>
    <row r="116" spans="1:25" s="90" customFormat="1" ht="39" customHeight="1" thickBot="1" x14ac:dyDescent="0.25">
      <c r="A116" s="77" t="s">
        <v>46</v>
      </c>
      <c r="B116" s="78" t="s">
        <v>47</v>
      </c>
      <c r="C116" s="79" t="s">
        <v>126</v>
      </c>
      <c r="D116" s="80" t="s">
        <v>127</v>
      </c>
      <c r="E116" s="81" t="s">
        <v>73</v>
      </c>
      <c r="F116" s="82" t="s">
        <v>128</v>
      </c>
      <c r="G116" s="83">
        <v>2</v>
      </c>
      <c r="H116" s="79" t="s">
        <v>68</v>
      </c>
      <c r="I116" s="84" t="s">
        <v>69</v>
      </c>
      <c r="J116" s="85">
        <v>4</v>
      </c>
      <c r="K116" s="86">
        <v>0</v>
      </c>
      <c r="L116" s="87">
        <v>0</v>
      </c>
      <c r="M116" s="87">
        <v>0</v>
      </c>
      <c r="N116" s="86">
        <f t="shared" si="43"/>
        <v>0</v>
      </c>
      <c r="O116" s="87">
        <v>0</v>
      </c>
      <c r="P116" s="87">
        <v>0</v>
      </c>
      <c r="Q116" s="87">
        <f>50000-50000</f>
        <v>0</v>
      </c>
      <c r="R116" s="86">
        <f t="shared" ref="R116" si="60">N116-O116+P116+Q116</f>
        <v>0</v>
      </c>
      <c r="S116" s="87">
        <v>0</v>
      </c>
      <c r="T116" s="88">
        <v>0</v>
      </c>
      <c r="U116" s="87">
        <v>0</v>
      </c>
      <c r="V116" s="88">
        <v>0</v>
      </c>
      <c r="W116" s="87">
        <v>0</v>
      </c>
      <c r="X116" s="89">
        <v>0</v>
      </c>
      <c r="Y116" s="65"/>
    </row>
    <row r="117" spans="1:25" s="76" customFormat="1" ht="39" customHeight="1" thickBot="1" x14ac:dyDescent="0.25">
      <c r="A117" s="117" t="s">
        <v>129</v>
      </c>
      <c r="B117" s="118"/>
      <c r="C117" s="118"/>
      <c r="D117" s="118"/>
      <c r="E117" s="118"/>
      <c r="F117" s="118"/>
      <c r="G117" s="118"/>
      <c r="H117" s="118"/>
      <c r="I117" s="118"/>
      <c r="J117" s="119"/>
      <c r="K117" s="120">
        <f>K13+K17+K21+K25+K29+K33+K38+K44+K49+K55+K62+K68+K72+K76+K79+K82+K85+K88+K92+K95+K99+K102+K105+K108+K111+K114</f>
        <v>1077418943</v>
      </c>
      <c r="L117" s="120">
        <f t="shared" ref="L117:R117" si="61">L13+L17+L21+L25+L29+L33+L38+L44+L49+L55+L62+L68+L72+L76+L79+L82+L85+L88+L92+L95+L99+L102+L105+L108+L111+L114</f>
        <v>72674827.710000008</v>
      </c>
      <c r="M117" s="120">
        <f t="shared" si="61"/>
        <v>47064435</v>
      </c>
      <c r="N117" s="120">
        <f t="shared" si="61"/>
        <v>1103029335.71</v>
      </c>
      <c r="O117" s="120">
        <f t="shared" si="61"/>
        <v>9744770.0899999999</v>
      </c>
      <c r="P117" s="120">
        <f t="shared" si="61"/>
        <v>0</v>
      </c>
      <c r="Q117" s="120">
        <f t="shared" si="61"/>
        <v>-11188941.879999999</v>
      </c>
      <c r="R117" s="120">
        <f t="shared" si="61"/>
        <v>1082095623.74</v>
      </c>
      <c r="S117" s="120">
        <f>S13+S17+S21+S25+S29+S33+S38+S44+S49+S55+S62+S68+S72+S76+S79+S82+S85+S88+S92+S95+S99+S102+S105+S108+S111+S114</f>
        <v>811209123.99000001</v>
      </c>
      <c r="T117" s="121">
        <f>S117/R117</f>
        <v>0.74966491518212897</v>
      </c>
      <c r="U117" s="120">
        <f>U13+U17+U21+U25+U29+U33+U38+U44+U49+U55+U62+U68+U72+U76+U79+U82+U85+U88+U92+U95+U99+U102+U105+U108+U111+U114</f>
        <v>805884116.47000003</v>
      </c>
      <c r="V117" s="121">
        <f>U117/R117</f>
        <v>0.74474390136119195</v>
      </c>
      <c r="W117" s="120">
        <f>W13+W17+W21+W25+W29+W33+W38+W44+W49+W55+W62+W68+W72+W76+W79+W82+W85+W88+W92+W95+W99+W102+W105+W108+W111+W114</f>
        <v>793318668.43000007</v>
      </c>
      <c r="X117" s="122">
        <f>W117/R117</f>
        <v>0.73313175936160546</v>
      </c>
      <c r="Y117" s="75"/>
    </row>
    <row r="118" spans="1:25" s="65" customFormat="1" ht="12" customHeight="1" thickBot="1" x14ac:dyDescent="0.25">
      <c r="A118" s="53"/>
      <c r="B118" s="54"/>
      <c r="C118" s="55"/>
      <c r="D118" s="56"/>
      <c r="E118" s="57"/>
      <c r="F118" s="58"/>
      <c r="G118" s="59"/>
      <c r="H118" s="55"/>
      <c r="I118" s="60"/>
      <c r="J118" s="61"/>
      <c r="K118" s="62"/>
      <c r="L118" s="63"/>
      <c r="M118" s="63"/>
      <c r="N118" s="62"/>
      <c r="O118" s="63"/>
      <c r="P118" s="63"/>
      <c r="Q118" s="63"/>
      <c r="R118" s="62"/>
      <c r="S118" s="63"/>
      <c r="T118" s="64"/>
      <c r="U118" s="63"/>
      <c r="V118" s="64"/>
      <c r="W118" s="63"/>
      <c r="X118" s="64"/>
    </row>
    <row r="119" spans="1:25" s="76" customFormat="1" ht="39" customHeight="1" x14ac:dyDescent="0.2">
      <c r="A119" s="66" t="s">
        <v>130</v>
      </c>
      <c r="B119" s="67" t="s">
        <v>131</v>
      </c>
      <c r="C119" s="68"/>
      <c r="D119" s="69" t="s">
        <v>132</v>
      </c>
      <c r="E119" s="70" t="s">
        <v>49</v>
      </c>
      <c r="F119" s="67" t="s">
        <v>133</v>
      </c>
      <c r="G119" s="71"/>
      <c r="H119" s="71"/>
      <c r="I119" s="71"/>
      <c r="J119" s="68"/>
      <c r="K119" s="72">
        <f>SUM(K120:K123)</f>
        <v>112000</v>
      </c>
      <c r="L119" s="72">
        <f t="shared" ref="L119:R119" si="62">SUM(L120:L123)</f>
        <v>695987.94</v>
      </c>
      <c r="M119" s="72">
        <f t="shared" si="62"/>
        <v>0</v>
      </c>
      <c r="N119" s="72">
        <f t="shared" si="62"/>
        <v>807987.94</v>
      </c>
      <c r="O119" s="72">
        <f t="shared" si="62"/>
        <v>651907.93999999994</v>
      </c>
      <c r="P119" s="72">
        <f t="shared" si="62"/>
        <v>0</v>
      </c>
      <c r="Q119" s="72">
        <f t="shared" si="62"/>
        <v>0</v>
      </c>
      <c r="R119" s="72">
        <f t="shared" si="62"/>
        <v>156080</v>
      </c>
      <c r="S119" s="72">
        <f>SUM(S120:S123)</f>
        <v>126738.92</v>
      </c>
      <c r="T119" s="73">
        <f>S119/R119</f>
        <v>0.81201255766273706</v>
      </c>
      <c r="U119" s="72">
        <f>SUM(U120:U123)</f>
        <v>125635.43</v>
      </c>
      <c r="V119" s="73">
        <f>U119/R119</f>
        <v>0.80494252947206557</v>
      </c>
      <c r="W119" s="72">
        <f>SUM(W120:W123)</f>
        <v>124417.46</v>
      </c>
      <c r="X119" s="74">
        <f>W119/R119</f>
        <v>0.79713903126601748</v>
      </c>
      <c r="Y119" s="75"/>
    </row>
    <row r="120" spans="1:25" s="90" customFormat="1" ht="39" customHeight="1" x14ac:dyDescent="0.2">
      <c r="A120" s="123" t="s">
        <v>130</v>
      </c>
      <c r="B120" s="78" t="s">
        <v>131</v>
      </c>
      <c r="C120" s="79" t="s">
        <v>51</v>
      </c>
      <c r="D120" s="124" t="s">
        <v>132</v>
      </c>
      <c r="E120" s="125" t="s">
        <v>49</v>
      </c>
      <c r="F120" s="78" t="s">
        <v>133</v>
      </c>
      <c r="G120" s="126">
        <v>1</v>
      </c>
      <c r="H120" s="79" t="s">
        <v>52</v>
      </c>
      <c r="I120" s="84" t="s">
        <v>53</v>
      </c>
      <c r="J120" s="127">
        <v>4</v>
      </c>
      <c r="K120" s="87">
        <v>20000</v>
      </c>
      <c r="L120" s="87">
        <v>0</v>
      </c>
      <c r="M120" s="87">
        <v>0</v>
      </c>
      <c r="N120" s="87">
        <f>K120+L120-M120</f>
        <v>20000</v>
      </c>
      <c r="O120" s="87">
        <f>20000</f>
        <v>20000</v>
      </c>
      <c r="P120" s="87">
        <v>0</v>
      </c>
      <c r="Q120" s="87">
        <v>0</v>
      </c>
      <c r="R120" s="87">
        <f>N120-O120+P120+Q120</f>
        <v>0</v>
      </c>
      <c r="S120" s="87">
        <v>0</v>
      </c>
      <c r="T120" s="88">
        <v>0</v>
      </c>
      <c r="U120" s="87">
        <v>0</v>
      </c>
      <c r="V120" s="88">
        <v>0</v>
      </c>
      <c r="W120" s="87">
        <v>0</v>
      </c>
      <c r="X120" s="89">
        <v>0</v>
      </c>
      <c r="Y120" s="65"/>
    </row>
    <row r="121" spans="1:25" s="90" customFormat="1" ht="39" customHeight="1" x14ac:dyDescent="0.2">
      <c r="A121" s="123" t="s">
        <v>130</v>
      </c>
      <c r="B121" s="78" t="s">
        <v>131</v>
      </c>
      <c r="C121" s="79" t="s">
        <v>51</v>
      </c>
      <c r="D121" s="124" t="s">
        <v>132</v>
      </c>
      <c r="E121" s="125" t="s">
        <v>49</v>
      </c>
      <c r="F121" s="78" t="s">
        <v>133</v>
      </c>
      <c r="G121" s="126">
        <v>1</v>
      </c>
      <c r="H121" s="128" t="s">
        <v>134</v>
      </c>
      <c r="I121" s="129" t="s">
        <v>135</v>
      </c>
      <c r="J121" s="127">
        <v>3</v>
      </c>
      <c r="K121" s="87">
        <v>92000</v>
      </c>
      <c r="L121" s="87">
        <v>0</v>
      </c>
      <c r="M121" s="87">
        <v>0</v>
      </c>
      <c r="N121" s="87">
        <f t="shared" ref="N121:N123" si="63">K121+L121-M121</f>
        <v>92000</v>
      </c>
      <c r="O121" s="87">
        <v>0</v>
      </c>
      <c r="P121" s="87">
        <v>0</v>
      </c>
      <c r="Q121" s="87">
        <v>0</v>
      </c>
      <c r="R121" s="87">
        <f t="shared" ref="R121:R123" si="64">N121-O121+P121+Q121</f>
        <v>92000</v>
      </c>
      <c r="S121" s="87">
        <f>26309.61+4409.37+8265.89+589.68+2055.24+589.68+4870.53+3238.83+11511.45+818.64</f>
        <v>62658.92</v>
      </c>
      <c r="T121" s="88">
        <f>S121/R121</f>
        <v>0.68107521739130428</v>
      </c>
      <c r="U121" s="87">
        <f>23017.77+7701.21+8265.89+589.68+1598.67+1046.25+4870.53+2135.34+11511.45+818.64</f>
        <v>61555.429999999993</v>
      </c>
      <c r="V121" s="88">
        <f t="shared" ref="V121:V123" si="65">U121/R121</f>
        <v>0.66908076086956514</v>
      </c>
      <c r="W121" s="87">
        <f>15441.68+15144.19+8265.89+589.68+646.92+1046.25+4870.53+2002.23+11511.45+818.64</f>
        <v>60337.460000000006</v>
      </c>
      <c r="X121" s="89">
        <f t="shared" ref="X121:X123" si="66">W121/R121</f>
        <v>0.65584195652173916</v>
      </c>
      <c r="Y121" s="65"/>
    </row>
    <row r="122" spans="1:25" s="90" customFormat="1" ht="39" customHeight="1" x14ac:dyDescent="0.2">
      <c r="A122" s="123" t="s">
        <v>130</v>
      </c>
      <c r="B122" s="78" t="s">
        <v>131</v>
      </c>
      <c r="C122" s="79" t="s">
        <v>51</v>
      </c>
      <c r="D122" s="124" t="s">
        <v>132</v>
      </c>
      <c r="E122" s="125" t="s">
        <v>49</v>
      </c>
      <c r="F122" s="78" t="s">
        <v>133</v>
      </c>
      <c r="G122" s="126">
        <v>1</v>
      </c>
      <c r="H122" s="128" t="s">
        <v>136</v>
      </c>
      <c r="I122" s="129" t="s">
        <v>137</v>
      </c>
      <c r="J122" s="127">
        <v>3</v>
      </c>
      <c r="K122" s="87">
        <v>0</v>
      </c>
      <c r="L122" s="87">
        <f>30000</f>
        <v>30000</v>
      </c>
      <c r="M122" s="87">
        <v>0</v>
      </c>
      <c r="N122" s="87">
        <f t="shared" si="63"/>
        <v>30000</v>
      </c>
      <c r="O122" s="87">
        <v>0</v>
      </c>
      <c r="P122" s="87">
        <v>0</v>
      </c>
      <c r="Q122" s="87">
        <v>0</v>
      </c>
      <c r="R122" s="87">
        <f t="shared" si="64"/>
        <v>30000</v>
      </c>
      <c r="S122" s="87">
        <f>30000</f>
        <v>30000</v>
      </c>
      <c r="T122" s="88">
        <f t="shared" ref="T122:T123" si="67">S122/R122</f>
        <v>1</v>
      </c>
      <c r="U122" s="87">
        <f>30000</f>
        <v>30000</v>
      </c>
      <c r="V122" s="88">
        <f t="shared" si="65"/>
        <v>1</v>
      </c>
      <c r="W122" s="87">
        <f>30000</f>
        <v>30000</v>
      </c>
      <c r="X122" s="89">
        <f t="shared" si="66"/>
        <v>1</v>
      </c>
      <c r="Y122" s="65"/>
    </row>
    <row r="123" spans="1:25" s="90" customFormat="1" ht="39" customHeight="1" x14ac:dyDescent="0.2">
      <c r="A123" s="123" t="s">
        <v>130</v>
      </c>
      <c r="B123" s="78" t="s">
        <v>131</v>
      </c>
      <c r="C123" s="79" t="s">
        <v>51</v>
      </c>
      <c r="D123" s="124" t="s">
        <v>132</v>
      </c>
      <c r="E123" s="125" t="s">
        <v>49</v>
      </c>
      <c r="F123" s="78" t="s">
        <v>133</v>
      </c>
      <c r="G123" s="126">
        <v>1</v>
      </c>
      <c r="H123" s="128" t="s">
        <v>136</v>
      </c>
      <c r="I123" s="129" t="s">
        <v>137</v>
      </c>
      <c r="J123" s="127">
        <v>4</v>
      </c>
      <c r="K123" s="87">
        <v>0</v>
      </c>
      <c r="L123" s="87">
        <f>665987.94</f>
        <v>665987.93999999994</v>
      </c>
      <c r="M123" s="87">
        <v>0</v>
      </c>
      <c r="N123" s="87">
        <f t="shared" si="63"/>
        <v>665987.93999999994</v>
      </c>
      <c r="O123" s="87">
        <f>631907.94</f>
        <v>631907.93999999994</v>
      </c>
      <c r="P123" s="87">
        <v>0</v>
      </c>
      <c r="Q123" s="87">
        <v>0</v>
      </c>
      <c r="R123" s="87">
        <f t="shared" si="64"/>
        <v>34080</v>
      </c>
      <c r="S123" s="87">
        <f>27780+6300</f>
        <v>34080</v>
      </c>
      <c r="T123" s="88">
        <f t="shared" si="67"/>
        <v>1</v>
      </c>
      <c r="U123" s="87">
        <f>34080</f>
        <v>34080</v>
      </c>
      <c r="V123" s="88">
        <f t="shared" si="65"/>
        <v>1</v>
      </c>
      <c r="W123" s="87">
        <f>34080</f>
        <v>34080</v>
      </c>
      <c r="X123" s="89">
        <f t="shared" si="66"/>
        <v>1</v>
      </c>
      <c r="Y123" s="65"/>
    </row>
    <row r="124" spans="1:25" s="65" customFormat="1" ht="9" customHeight="1" x14ac:dyDescent="0.2">
      <c r="A124" s="91"/>
      <c r="B124" s="92"/>
      <c r="C124" s="93"/>
      <c r="D124" s="94"/>
      <c r="E124" s="57"/>
      <c r="F124" s="96"/>
      <c r="G124" s="97"/>
      <c r="H124" s="93"/>
      <c r="I124" s="98"/>
      <c r="J124" s="99"/>
      <c r="K124" s="100"/>
      <c r="L124" s="101"/>
      <c r="M124" s="101"/>
      <c r="N124" s="100"/>
      <c r="O124" s="101"/>
      <c r="P124" s="101"/>
      <c r="Q124" s="101"/>
      <c r="R124" s="100"/>
      <c r="S124" s="101"/>
      <c r="T124" s="102"/>
      <c r="U124" s="101"/>
      <c r="V124" s="102"/>
      <c r="W124" s="101"/>
      <c r="X124" s="103"/>
    </row>
    <row r="125" spans="1:25" s="76" customFormat="1" ht="39" customHeight="1" x14ac:dyDescent="0.2">
      <c r="A125" s="130" t="s">
        <v>130</v>
      </c>
      <c r="B125" s="105" t="s">
        <v>138</v>
      </c>
      <c r="C125" s="106"/>
      <c r="D125" s="107" t="s">
        <v>139</v>
      </c>
      <c r="E125" s="108" t="s">
        <v>49</v>
      </c>
      <c r="F125" s="105" t="s">
        <v>140</v>
      </c>
      <c r="G125" s="109"/>
      <c r="H125" s="109"/>
      <c r="I125" s="109"/>
      <c r="J125" s="106"/>
      <c r="K125" s="110">
        <f>SUM(K126:K132)</f>
        <v>1531000</v>
      </c>
      <c r="L125" s="110">
        <f t="shared" ref="L125:R125" si="68">SUM(L126:L132)</f>
        <v>2470986</v>
      </c>
      <c r="M125" s="110">
        <f t="shared" si="68"/>
        <v>40000</v>
      </c>
      <c r="N125" s="110">
        <f t="shared" si="68"/>
        <v>3961986</v>
      </c>
      <c r="O125" s="110">
        <f t="shared" si="68"/>
        <v>3081549</v>
      </c>
      <c r="P125" s="110">
        <f t="shared" si="68"/>
        <v>0</v>
      </c>
      <c r="Q125" s="110">
        <f t="shared" si="68"/>
        <v>0</v>
      </c>
      <c r="R125" s="110">
        <f t="shared" si="68"/>
        <v>880437</v>
      </c>
      <c r="S125" s="110">
        <f>SUM(S126:S132)</f>
        <v>664386.73</v>
      </c>
      <c r="T125" s="111">
        <f>S125/R125</f>
        <v>0.75461018789532919</v>
      </c>
      <c r="U125" s="110">
        <f>SUM(U126:U132)</f>
        <v>569723.09</v>
      </c>
      <c r="V125" s="111">
        <f>U125/R125</f>
        <v>0.64709126263435091</v>
      </c>
      <c r="W125" s="110">
        <f>SUM(W126:W132)</f>
        <v>569723.09</v>
      </c>
      <c r="X125" s="112">
        <f>W125/R125</f>
        <v>0.64709126263435091</v>
      </c>
      <c r="Y125" s="75"/>
    </row>
    <row r="126" spans="1:25" s="90" customFormat="1" ht="39" customHeight="1" x14ac:dyDescent="0.2">
      <c r="A126" s="123" t="s">
        <v>130</v>
      </c>
      <c r="B126" s="78" t="s">
        <v>131</v>
      </c>
      <c r="C126" s="79" t="s">
        <v>51</v>
      </c>
      <c r="D126" s="80" t="s">
        <v>139</v>
      </c>
      <c r="E126" s="125" t="s">
        <v>49</v>
      </c>
      <c r="F126" s="82" t="s">
        <v>140</v>
      </c>
      <c r="G126" s="83">
        <v>1</v>
      </c>
      <c r="H126" s="79" t="s">
        <v>52</v>
      </c>
      <c r="I126" s="84" t="s">
        <v>53</v>
      </c>
      <c r="J126" s="85">
        <v>4</v>
      </c>
      <c r="K126" s="86">
        <v>1380000</v>
      </c>
      <c r="L126" s="87">
        <v>0</v>
      </c>
      <c r="M126" s="87">
        <v>0</v>
      </c>
      <c r="N126" s="86">
        <f>K126+L126-M126</f>
        <v>1380000</v>
      </c>
      <c r="O126" s="87">
        <f>1278000</f>
        <v>1278000</v>
      </c>
      <c r="P126" s="87">
        <v>0</v>
      </c>
      <c r="Q126" s="87">
        <v>0</v>
      </c>
      <c r="R126" s="86">
        <f>N126-O126+P126+Q126</f>
        <v>102000</v>
      </c>
      <c r="S126" s="87">
        <v>0</v>
      </c>
      <c r="T126" s="88">
        <f>S126/R126</f>
        <v>0</v>
      </c>
      <c r="U126" s="87">
        <v>0</v>
      </c>
      <c r="V126" s="88">
        <f>U126/R126</f>
        <v>0</v>
      </c>
      <c r="W126" s="87">
        <v>0</v>
      </c>
      <c r="X126" s="89">
        <f>W126/R126</f>
        <v>0</v>
      </c>
      <c r="Y126" s="65"/>
    </row>
    <row r="127" spans="1:25" s="90" customFormat="1" ht="39" customHeight="1" x14ac:dyDescent="0.2">
      <c r="A127" s="123" t="s">
        <v>130</v>
      </c>
      <c r="B127" s="78" t="s">
        <v>131</v>
      </c>
      <c r="C127" s="79" t="s">
        <v>51</v>
      </c>
      <c r="D127" s="80" t="s">
        <v>139</v>
      </c>
      <c r="E127" s="125" t="s">
        <v>49</v>
      </c>
      <c r="F127" s="82" t="s">
        <v>140</v>
      </c>
      <c r="G127" s="83">
        <v>1</v>
      </c>
      <c r="H127" s="79" t="s">
        <v>52</v>
      </c>
      <c r="I127" s="84" t="s">
        <v>53</v>
      </c>
      <c r="J127" s="85">
        <v>5</v>
      </c>
      <c r="K127" s="86">
        <v>50000</v>
      </c>
      <c r="L127" s="87">
        <v>0</v>
      </c>
      <c r="M127" s="87">
        <v>0</v>
      </c>
      <c r="N127" s="86">
        <f>K127+L127-M127</f>
        <v>50000</v>
      </c>
      <c r="O127" s="87">
        <f>50000</f>
        <v>50000</v>
      </c>
      <c r="P127" s="87">
        <v>0</v>
      </c>
      <c r="Q127" s="87">
        <v>0</v>
      </c>
      <c r="R127" s="86">
        <f>N127-O127+P127+Q127</f>
        <v>0</v>
      </c>
      <c r="S127" s="87">
        <v>0</v>
      </c>
      <c r="T127" s="88">
        <v>0</v>
      </c>
      <c r="U127" s="87">
        <v>0</v>
      </c>
      <c r="V127" s="88">
        <v>0</v>
      </c>
      <c r="W127" s="87">
        <v>0</v>
      </c>
      <c r="X127" s="89">
        <v>0</v>
      </c>
      <c r="Y127" s="65"/>
    </row>
    <row r="128" spans="1:25" s="90" customFormat="1" ht="39" customHeight="1" x14ac:dyDescent="0.2">
      <c r="A128" s="123" t="s">
        <v>130</v>
      </c>
      <c r="B128" s="78" t="s">
        <v>131</v>
      </c>
      <c r="C128" s="79" t="s">
        <v>51</v>
      </c>
      <c r="D128" s="80" t="s">
        <v>139</v>
      </c>
      <c r="E128" s="125" t="s">
        <v>49</v>
      </c>
      <c r="F128" s="82" t="s">
        <v>140</v>
      </c>
      <c r="G128" s="83">
        <v>1</v>
      </c>
      <c r="H128" s="79" t="s">
        <v>134</v>
      </c>
      <c r="I128" s="129" t="s">
        <v>135</v>
      </c>
      <c r="J128" s="85">
        <v>3</v>
      </c>
      <c r="K128" s="86">
        <v>101000</v>
      </c>
      <c r="L128" s="87">
        <v>0</v>
      </c>
      <c r="M128" s="87">
        <f>40000</f>
        <v>40000</v>
      </c>
      <c r="N128" s="86">
        <f>K128+L128-M128</f>
        <v>61000</v>
      </c>
      <c r="O128" s="87">
        <v>0</v>
      </c>
      <c r="P128" s="87">
        <v>0</v>
      </c>
      <c r="Q128" s="87">
        <v>0</v>
      </c>
      <c r="R128" s="86">
        <f>N128-O128+P128+Q128</f>
        <v>61000</v>
      </c>
      <c r="S128" s="87">
        <f>634.13+3178.78+411.5+1369.71</f>
        <v>5594.12</v>
      </c>
      <c r="T128" s="88">
        <f>S128/R128</f>
        <v>9.1706885245901634E-2</v>
      </c>
      <c r="U128" s="87">
        <f>634.13+88.78+3090+411.5+1369.71</f>
        <v>5594.12</v>
      </c>
      <c r="V128" s="88">
        <f>U128/R128</f>
        <v>9.1706885245901634E-2</v>
      </c>
      <c r="W128" s="87">
        <f>634.13+88.78+3090+411.5+1369.71</f>
        <v>5594.12</v>
      </c>
      <c r="X128" s="89">
        <f>W128/R128</f>
        <v>9.1706885245901634E-2</v>
      </c>
      <c r="Y128" s="65"/>
    </row>
    <row r="129" spans="1:25" s="90" customFormat="1" ht="39" customHeight="1" x14ac:dyDescent="0.2">
      <c r="A129" s="123" t="s">
        <v>130</v>
      </c>
      <c r="B129" s="78" t="s">
        <v>131</v>
      </c>
      <c r="C129" s="79" t="s">
        <v>51</v>
      </c>
      <c r="D129" s="80" t="s">
        <v>139</v>
      </c>
      <c r="E129" s="125" t="s">
        <v>49</v>
      </c>
      <c r="F129" s="82" t="s">
        <v>140</v>
      </c>
      <c r="G129" s="83">
        <v>1</v>
      </c>
      <c r="H129" s="79" t="s">
        <v>134</v>
      </c>
      <c r="I129" s="129" t="s">
        <v>135</v>
      </c>
      <c r="J129" s="85">
        <v>4</v>
      </c>
      <c r="K129" s="86">
        <v>0</v>
      </c>
      <c r="L129" s="87">
        <f>1203549</f>
        <v>1203549</v>
      </c>
      <c r="M129" s="87">
        <v>0</v>
      </c>
      <c r="N129" s="86">
        <f>K129+L129-M129</f>
        <v>1203549</v>
      </c>
      <c r="O129" s="87">
        <f>1203549</f>
        <v>1203549</v>
      </c>
      <c r="P129" s="87">
        <v>0</v>
      </c>
      <c r="Q129" s="87">
        <v>0</v>
      </c>
      <c r="R129" s="86">
        <f>N129-O129+P129+Q129</f>
        <v>0</v>
      </c>
      <c r="S129" s="87">
        <v>0</v>
      </c>
      <c r="T129" s="88">
        <v>0</v>
      </c>
      <c r="U129" s="87">
        <v>0</v>
      </c>
      <c r="V129" s="88">
        <v>0</v>
      </c>
      <c r="W129" s="87">
        <v>0</v>
      </c>
      <c r="X129" s="89">
        <v>0</v>
      </c>
      <c r="Y129" s="65"/>
    </row>
    <row r="130" spans="1:25" s="90" customFormat="1" ht="39" customHeight="1" x14ac:dyDescent="0.2">
      <c r="A130" s="123" t="s">
        <v>130</v>
      </c>
      <c r="B130" s="78" t="s">
        <v>131</v>
      </c>
      <c r="C130" s="79" t="s">
        <v>51</v>
      </c>
      <c r="D130" s="80" t="s">
        <v>139</v>
      </c>
      <c r="E130" s="125" t="s">
        <v>49</v>
      </c>
      <c r="F130" s="82" t="s">
        <v>140</v>
      </c>
      <c r="G130" s="83">
        <v>1</v>
      </c>
      <c r="H130" s="131" t="s">
        <v>141</v>
      </c>
      <c r="I130" s="132" t="s">
        <v>142</v>
      </c>
      <c r="J130" s="85">
        <v>4</v>
      </c>
      <c r="K130" s="86">
        <v>0</v>
      </c>
      <c r="L130" s="87">
        <f>550000</f>
        <v>550000</v>
      </c>
      <c r="M130" s="87">
        <v>0</v>
      </c>
      <c r="N130" s="86">
        <f t="shared" ref="N130:N132" si="69">K130+L130-M130</f>
        <v>550000</v>
      </c>
      <c r="O130" s="87">
        <f>550000-100000</f>
        <v>450000</v>
      </c>
      <c r="P130" s="87">
        <v>0</v>
      </c>
      <c r="Q130" s="87">
        <v>0</v>
      </c>
      <c r="R130" s="86">
        <f t="shared" ref="R130:R132" si="70">N130-O130+P130+Q130</f>
        <v>100000</v>
      </c>
      <c r="S130" s="87">
        <f>94663.64</f>
        <v>94663.64</v>
      </c>
      <c r="T130" s="88">
        <f>S130/R130</f>
        <v>0.94663640000000004</v>
      </c>
      <c r="U130" s="87">
        <v>0</v>
      </c>
      <c r="V130" s="88">
        <f>U130/R130</f>
        <v>0</v>
      </c>
      <c r="W130" s="87">
        <v>0</v>
      </c>
      <c r="X130" s="89">
        <f>W130/R130</f>
        <v>0</v>
      </c>
      <c r="Y130" s="65"/>
    </row>
    <row r="131" spans="1:25" s="90" customFormat="1" ht="39" customHeight="1" x14ac:dyDescent="0.2">
      <c r="A131" s="123" t="s">
        <v>130</v>
      </c>
      <c r="B131" s="78" t="s">
        <v>131</v>
      </c>
      <c r="C131" s="79" t="s">
        <v>51</v>
      </c>
      <c r="D131" s="80" t="s">
        <v>139</v>
      </c>
      <c r="E131" s="125" t="s">
        <v>49</v>
      </c>
      <c r="F131" s="82" t="s">
        <v>140</v>
      </c>
      <c r="G131" s="83">
        <v>1</v>
      </c>
      <c r="H131" s="131" t="s">
        <v>143</v>
      </c>
      <c r="I131" s="133" t="s">
        <v>144</v>
      </c>
      <c r="J131" s="85">
        <v>4</v>
      </c>
      <c r="K131" s="86">
        <v>0</v>
      </c>
      <c r="L131" s="87">
        <f>270235</f>
        <v>270235</v>
      </c>
      <c r="M131" s="87">
        <v>0</v>
      </c>
      <c r="N131" s="86">
        <f t="shared" si="69"/>
        <v>270235</v>
      </c>
      <c r="O131" s="87">
        <f>153307.84-53307.84</f>
        <v>100000</v>
      </c>
      <c r="P131" s="87">
        <v>0</v>
      </c>
      <c r="Q131" s="87">
        <v>0</v>
      </c>
      <c r="R131" s="86">
        <f t="shared" si="70"/>
        <v>170235</v>
      </c>
      <c r="S131" s="87">
        <f>116927.16</f>
        <v>116927.16</v>
      </c>
      <c r="T131" s="88">
        <f t="shared" ref="T131:T132" si="71">S131/R131</f>
        <v>0.68685734425940614</v>
      </c>
      <c r="U131" s="87">
        <f>116927.16</f>
        <v>116927.16</v>
      </c>
      <c r="V131" s="88">
        <f t="shared" ref="V131:V132" si="72">U131/R131</f>
        <v>0.68685734425940614</v>
      </c>
      <c r="W131" s="87">
        <f>116927.16</f>
        <v>116927.16</v>
      </c>
      <c r="X131" s="89">
        <f t="shared" ref="X131:X132" si="73">W131/R131</f>
        <v>0.68685734425940614</v>
      </c>
      <c r="Y131" s="65"/>
    </row>
    <row r="132" spans="1:25" s="90" customFormat="1" ht="39" customHeight="1" x14ac:dyDescent="0.2">
      <c r="A132" s="123" t="s">
        <v>130</v>
      </c>
      <c r="B132" s="78" t="s">
        <v>131</v>
      </c>
      <c r="C132" s="79" t="s">
        <v>51</v>
      </c>
      <c r="D132" s="80" t="s">
        <v>139</v>
      </c>
      <c r="E132" s="125" t="s">
        <v>49</v>
      </c>
      <c r="F132" s="82" t="s">
        <v>140</v>
      </c>
      <c r="G132" s="83">
        <v>1</v>
      </c>
      <c r="H132" s="131" t="s">
        <v>143</v>
      </c>
      <c r="I132" s="133" t="s">
        <v>144</v>
      </c>
      <c r="J132" s="85">
        <v>5</v>
      </c>
      <c r="K132" s="86">
        <v>0</v>
      </c>
      <c r="L132" s="87">
        <f>447202</f>
        <v>447202</v>
      </c>
      <c r="M132" s="87">
        <v>0</v>
      </c>
      <c r="N132" s="86">
        <f t="shared" si="69"/>
        <v>447202</v>
      </c>
      <c r="O132" s="87">
        <v>0</v>
      </c>
      <c r="P132" s="87">
        <v>0</v>
      </c>
      <c r="Q132" s="87">
        <v>0</v>
      </c>
      <c r="R132" s="86">
        <f t="shared" si="70"/>
        <v>447202</v>
      </c>
      <c r="S132" s="87">
        <f>447201.81</f>
        <v>447201.81</v>
      </c>
      <c r="T132" s="88">
        <f t="shared" si="71"/>
        <v>0.9999995751360683</v>
      </c>
      <c r="U132" s="87">
        <f>447201.81</f>
        <v>447201.81</v>
      </c>
      <c r="V132" s="88">
        <f t="shared" si="72"/>
        <v>0.9999995751360683</v>
      </c>
      <c r="W132" s="87">
        <f>447201.81</f>
        <v>447201.81</v>
      </c>
      <c r="X132" s="89">
        <f t="shared" si="73"/>
        <v>0.9999995751360683</v>
      </c>
      <c r="Y132" s="65"/>
    </row>
    <row r="133" spans="1:25" s="65" customFormat="1" ht="9" customHeight="1" x14ac:dyDescent="0.2">
      <c r="A133" s="91"/>
      <c r="B133" s="92"/>
      <c r="C133" s="93"/>
      <c r="D133" s="94"/>
      <c r="E133" s="95"/>
      <c r="F133" s="96"/>
      <c r="G133" s="97"/>
      <c r="H133" s="93"/>
      <c r="I133" s="98"/>
      <c r="J133" s="99"/>
      <c r="K133" s="100"/>
      <c r="L133" s="101"/>
      <c r="M133" s="101"/>
      <c r="N133" s="100"/>
      <c r="O133" s="101"/>
      <c r="P133" s="101"/>
      <c r="Q133" s="101"/>
      <c r="R133" s="100"/>
      <c r="S133" s="101"/>
      <c r="T133" s="102"/>
      <c r="U133" s="101"/>
      <c r="V133" s="102"/>
      <c r="W133" s="101"/>
      <c r="X133" s="103"/>
    </row>
    <row r="134" spans="1:25" s="76" customFormat="1" ht="39" customHeight="1" x14ac:dyDescent="0.2">
      <c r="A134" s="130" t="s">
        <v>130</v>
      </c>
      <c r="B134" s="105" t="s">
        <v>138</v>
      </c>
      <c r="C134" s="106"/>
      <c r="D134" s="107" t="s">
        <v>145</v>
      </c>
      <c r="E134" s="108" t="s">
        <v>49</v>
      </c>
      <c r="F134" s="105" t="s">
        <v>146</v>
      </c>
      <c r="G134" s="109"/>
      <c r="H134" s="109"/>
      <c r="I134" s="109"/>
      <c r="J134" s="106"/>
      <c r="K134" s="110">
        <f>SUM(K135:K140)</f>
        <v>5001000</v>
      </c>
      <c r="L134" s="110">
        <f t="shared" ref="L134:S134" si="74">SUM(L135:L140)</f>
        <v>4848527</v>
      </c>
      <c r="M134" s="110">
        <f t="shared" si="74"/>
        <v>2246850</v>
      </c>
      <c r="N134" s="110">
        <f t="shared" si="74"/>
        <v>7602677</v>
      </c>
      <c r="O134" s="110">
        <f t="shared" si="74"/>
        <v>849877.60000000009</v>
      </c>
      <c r="P134" s="110">
        <f t="shared" si="74"/>
        <v>0</v>
      </c>
      <c r="Q134" s="110">
        <f t="shared" si="74"/>
        <v>0</v>
      </c>
      <c r="R134" s="110">
        <f t="shared" si="74"/>
        <v>6752799.3999999994</v>
      </c>
      <c r="S134" s="110">
        <f t="shared" si="74"/>
        <v>2757739.0599999996</v>
      </c>
      <c r="T134" s="111">
        <f t="shared" ref="T134:T140" si="75">S134/R134</f>
        <v>0.40838456714707089</v>
      </c>
      <c r="U134" s="110">
        <f>SUM(U135:U140)</f>
        <v>2545949.4</v>
      </c>
      <c r="V134" s="111">
        <f t="shared" ref="V134:V140" si="76">U134/R134</f>
        <v>0.37702132836938707</v>
      </c>
      <c r="W134" s="110">
        <f>SUM(W135:W140)</f>
        <v>2545949.4</v>
      </c>
      <c r="X134" s="112">
        <f t="shared" ref="X134:X140" si="77">W134/R134</f>
        <v>0.37702132836938707</v>
      </c>
      <c r="Y134" s="75"/>
    </row>
    <row r="135" spans="1:25" s="90" customFormat="1" ht="39" customHeight="1" x14ac:dyDescent="0.2">
      <c r="A135" s="123" t="s">
        <v>130</v>
      </c>
      <c r="B135" s="78" t="s">
        <v>131</v>
      </c>
      <c r="C135" s="79" t="s">
        <v>51</v>
      </c>
      <c r="D135" s="80" t="s">
        <v>145</v>
      </c>
      <c r="E135" s="125" t="s">
        <v>49</v>
      </c>
      <c r="F135" s="82" t="s">
        <v>146</v>
      </c>
      <c r="G135" s="83">
        <v>1</v>
      </c>
      <c r="H135" s="79" t="s">
        <v>52</v>
      </c>
      <c r="I135" s="84" t="s">
        <v>53</v>
      </c>
      <c r="J135" s="85">
        <v>4</v>
      </c>
      <c r="K135" s="86">
        <v>2530550</v>
      </c>
      <c r="L135" s="87">
        <v>0</v>
      </c>
      <c r="M135" s="87">
        <v>0</v>
      </c>
      <c r="N135" s="86">
        <f t="shared" ref="N135:N140" si="78">K135+L135-M135</f>
        <v>2530550</v>
      </c>
      <c r="O135" s="87">
        <v>0</v>
      </c>
      <c r="P135" s="87">
        <v>0</v>
      </c>
      <c r="Q135" s="87">
        <v>0</v>
      </c>
      <c r="R135" s="86">
        <f t="shared" ref="R135:R140" si="79">N135-O135+P135+Q135</f>
        <v>2530550</v>
      </c>
      <c r="S135" s="87">
        <v>0</v>
      </c>
      <c r="T135" s="88">
        <f t="shared" si="75"/>
        <v>0</v>
      </c>
      <c r="U135" s="87">
        <v>0</v>
      </c>
      <c r="V135" s="88">
        <f t="shared" si="76"/>
        <v>0</v>
      </c>
      <c r="W135" s="87">
        <v>0</v>
      </c>
      <c r="X135" s="89">
        <f t="shared" si="77"/>
        <v>0</v>
      </c>
      <c r="Y135" s="65"/>
    </row>
    <row r="136" spans="1:25" s="90" customFormat="1" ht="39" customHeight="1" x14ac:dyDescent="0.2">
      <c r="A136" s="123" t="s">
        <v>130</v>
      </c>
      <c r="B136" s="78" t="s">
        <v>131</v>
      </c>
      <c r="C136" s="79" t="s">
        <v>51</v>
      </c>
      <c r="D136" s="80" t="s">
        <v>145</v>
      </c>
      <c r="E136" s="125" t="s">
        <v>49</v>
      </c>
      <c r="F136" s="82" t="s">
        <v>146</v>
      </c>
      <c r="G136" s="83">
        <v>1</v>
      </c>
      <c r="H136" s="79" t="s">
        <v>134</v>
      </c>
      <c r="I136" s="129" t="s">
        <v>135</v>
      </c>
      <c r="J136" s="85">
        <v>3</v>
      </c>
      <c r="K136" s="86">
        <v>1000</v>
      </c>
      <c r="L136" s="87">
        <v>0</v>
      </c>
      <c r="M136" s="87">
        <v>0</v>
      </c>
      <c r="N136" s="86">
        <f t="shared" si="78"/>
        <v>1000</v>
      </c>
      <c r="O136" s="87">
        <v>0</v>
      </c>
      <c r="P136" s="87">
        <v>0</v>
      </c>
      <c r="Q136" s="87">
        <v>0</v>
      </c>
      <c r="R136" s="86">
        <f t="shared" si="79"/>
        <v>1000</v>
      </c>
      <c r="S136" s="87">
        <v>0</v>
      </c>
      <c r="T136" s="88">
        <f t="shared" si="75"/>
        <v>0</v>
      </c>
      <c r="U136" s="87">
        <v>0</v>
      </c>
      <c r="V136" s="88">
        <f t="shared" si="76"/>
        <v>0</v>
      </c>
      <c r="W136" s="87">
        <v>0</v>
      </c>
      <c r="X136" s="89">
        <f t="shared" si="77"/>
        <v>0</v>
      </c>
      <c r="Y136" s="65"/>
    </row>
    <row r="137" spans="1:25" s="90" customFormat="1" ht="39" customHeight="1" x14ac:dyDescent="0.2">
      <c r="A137" s="123" t="s">
        <v>130</v>
      </c>
      <c r="B137" s="78" t="s">
        <v>131</v>
      </c>
      <c r="C137" s="79" t="s">
        <v>51</v>
      </c>
      <c r="D137" s="80" t="s">
        <v>145</v>
      </c>
      <c r="E137" s="125" t="s">
        <v>49</v>
      </c>
      <c r="F137" s="82" t="s">
        <v>146</v>
      </c>
      <c r="G137" s="83">
        <v>1</v>
      </c>
      <c r="H137" s="79" t="s">
        <v>134</v>
      </c>
      <c r="I137" s="129" t="s">
        <v>135</v>
      </c>
      <c r="J137" s="85">
        <v>4</v>
      </c>
      <c r="K137" s="86">
        <v>2469450</v>
      </c>
      <c r="L137" s="87">
        <f>40000</f>
        <v>40000</v>
      </c>
      <c r="M137" s="87">
        <f>1046850</f>
        <v>1046850</v>
      </c>
      <c r="N137" s="86">
        <f t="shared" si="78"/>
        <v>1462600</v>
      </c>
      <c r="O137" s="87">
        <v>0</v>
      </c>
      <c r="P137" s="87">
        <v>0</v>
      </c>
      <c r="Q137" s="87">
        <v>0</v>
      </c>
      <c r="R137" s="86">
        <f t="shared" si="79"/>
        <v>1462600</v>
      </c>
      <c r="S137" s="87">
        <v>0</v>
      </c>
      <c r="T137" s="88">
        <f t="shared" si="75"/>
        <v>0</v>
      </c>
      <c r="U137" s="87">
        <v>0</v>
      </c>
      <c r="V137" s="88">
        <f t="shared" si="76"/>
        <v>0</v>
      </c>
      <c r="W137" s="87">
        <v>0</v>
      </c>
      <c r="X137" s="89">
        <f t="shared" si="77"/>
        <v>0</v>
      </c>
      <c r="Y137" s="65"/>
    </row>
    <row r="138" spans="1:25" s="90" customFormat="1" ht="39" customHeight="1" x14ac:dyDescent="0.2">
      <c r="A138" s="123" t="s">
        <v>130</v>
      </c>
      <c r="B138" s="78" t="s">
        <v>131</v>
      </c>
      <c r="C138" s="79" t="s">
        <v>51</v>
      </c>
      <c r="D138" s="80" t="s">
        <v>145</v>
      </c>
      <c r="E138" s="125" t="s">
        <v>49</v>
      </c>
      <c r="F138" s="82" t="s">
        <v>146</v>
      </c>
      <c r="G138" s="83">
        <v>1</v>
      </c>
      <c r="H138" s="115" t="s">
        <v>61</v>
      </c>
      <c r="I138" s="116" t="s">
        <v>62</v>
      </c>
      <c r="J138" s="85">
        <v>3</v>
      </c>
      <c r="K138" s="86">
        <v>0</v>
      </c>
      <c r="L138" s="87">
        <f>212700</f>
        <v>212700</v>
      </c>
      <c r="M138" s="87">
        <v>0</v>
      </c>
      <c r="N138" s="86">
        <f t="shared" si="78"/>
        <v>212700</v>
      </c>
      <c r="O138" s="87">
        <f>212700-212700</f>
        <v>0</v>
      </c>
      <c r="P138" s="87">
        <v>0</v>
      </c>
      <c r="Q138" s="87">
        <v>0</v>
      </c>
      <c r="R138" s="86">
        <f t="shared" si="79"/>
        <v>212700</v>
      </c>
      <c r="S138" s="87">
        <f>211789.66</f>
        <v>211789.66</v>
      </c>
      <c r="T138" s="88">
        <f t="shared" si="75"/>
        <v>0.99572007522331929</v>
      </c>
      <c r="U138" s="87">
        <v>0</v>
      </c>
      <c r="V138" s="88">
        <v>0</v>
      </c>
      <c r="W138" s="87">
        <v>0</v>
      </c>
      <c r="X138" s="89">
        <v>0</v>
      </c>
      <c r="Y138" s="65"/>
    </row>
    <row r="139" spans="1:25" s="90" customFormat="1" ht="39" customHeight="1" x14ac:dyDescent="0.2">
      <c r="A139" s="123" t="s">
        <v>130</v>
      </c>
      <c r="B139" s="78" t="s">
        <v>131</v>
      </c>
      <c r="C139" s="79" t="s">
        <v>51</v>
      </c>
      <c r="D139" s="80" t="s">
        <v>145</v>
      </c>
      <c r="E139" s="125" t="s">
        <v>49</v>
      </c>
      <c r="F139" s="82" t="s">
        <v>146</v>
      </c>
      <c r="G139" s="83">
        <v>1</v>
      </c>
      <c r="H139" s="113" t="s">
        <v>61</v>
      </c>
      <c r="I139" s="114" t="s">
        <v>62</v>
      </c>
      <c r="J139" s="85">
        <v>4</v>
      </c>
      <c r="K139" s="86">
        <v>0</v>
      </c>
      <c r="L139" s="87">
        <f>3448977</f>
        <v>3448977</v>
      </c>
      <c r="M139" s="87">
        <f>1200000</f>
        <v>1200000</v>
      </c>
      <c r="N139" s="86">
        <f t="shared" si="78"/>
        <v>2248977</v>
      </c>
      <c r="O139" s="87">
        <f>1435610.35-814891.54</f>
        <v>620718.81000000006</v>
      </c>
      <c r="P139" s="87">
        <v>0</v>
      </c>
      <c r="Q139" s="87">
        <v>0</v>
      </c>
      <c r="R139" s="86">
        <f t="shared" si="79"/>
        <v>1628258.19</v>
      </c>
      <c r="S139" s="87">
        <f>813366.65+814891.54</f>
        <v>1628258.19</v>
      </c>
      <c r="T139" s="88">
        <f t="shared" si="75"/>
        <v>1</v>
      </c>
      <c r="U139" s="87">
        <f>813366.65+814891.54</f>
        <v>1628258.19</v>
      </c>
      <c r="V139" s="88">
        <f t="shared" si="76"/>
        <v>1</v>
      </c>
      <c r="W139" s="87">
        <f>813366.65+814891.54</f>
        <v>1628258.19</v>
      </c>
      <c r="X139" s="89">
        <f t="shared" si="77"/>
        <v>1</v>
      </c>
      <c r="Y139" s="65"/>
    </row>
    <row r="140" spans="1:25" s="90" customFormat="1" ht="39" customHeight="1" x14ac:dyDescent="0.2">
      <c r="A140" s="123" t="s">
        <v>130</v>
      </c>
      <c r="B140" s="78" t="s">
        <v>131</v>
      </c>
      <c r="C140" s="79" t="s">
        <v>51</v>
      </c>
      <c r="D140" s="80" t="s">
        <v>145</v>
      </c>
      <c r="E140" s="125" t="s">
        <v>49</v>
      </c>
      <c r="F140" s="82" t="s">
        <v>146</v>
      </c>
      <c r="G140" s="83">
        <v>1</v>
      </c>
      <c r="H140" s="131" t="s">
        <v>143</v>
      </c>
      <c r="I140" s="133" t="s">
        <v>144</v>
      </c>
      <c r="J140" s="85">
        <v>4</v>
      </c>
      <c r="K140" s="86">
        <v>0</v>
      </c>
      <c r="L140" s="87">
        <f>1046850+100000</f>
        <v>1146850</v>
      </c>
      <c r="M140" s="87">
        <v>0</v>
      </c>
      <c r="N140" s="86">
        <f t="shared" si="78"/>
        <v>1146850</v>
      </c>
      <c r="O140" s="87">
        <f>1046850-917691.21+100000</f>
        <v>229158.79000000004</v>
      </c>
      <c r="P140" s="87">
        <v>0</v>
      </c>
      <c r="Q140" s="87">
        <v>0</v>
      </c>
      <c r="R140" s="86">
        <f t="shared" si="79"/>
        <v>917691.21</v>
      </c>
      <c r="S140" s="87">
        <f>917691.21</f>
        <v>917691.21</v>
      </c>
      <c r="T140" s="88">
        <f t="shared" si="75"/>
        <v>1</v>
      </c>
      <c r="U140" s="87">
        <f>917691.21</f>
        <v>917691.21</v>
      </c>
      <c r="V140" s="88">
        <f t="shared" si="76"/>
        <v>1</v>
      </c>
      <c r="W140" s="87">
        <f>917691.21</f>
        <v>917691.21</v>
      </c>
      <c r="X140" s="89">
        <f t="shared" si="77"/>
        <v>1</v>
      </c>
      <c r="Y140" s="65"/>
    </row>
    <row r="141" spans="1:25" s="65" customFormat="1" ht="9" customHeight="1" x14ac:dyDescent="0.2">
      <c r="A141" s="91"/>
      <c r="B141" s="92"/>
      <c r="C141" s="93"/>
      <c r="D141" s="94"/>
      <c r="E141" s="95"/>
      <c r="F141" s="96"/>
      <c r="G141" s="97"/>
      <c r="H141" s="93"/>
      <c r="I141" s="98"/>
      <c r="J141" s="99"/>
      <c r="K141" s="100"/>
      <c r="L141" s="101"/>
      <c r="M141" s="101"/>
      <c r="N141" s="100"/>
      <c r="O141" s="101"/>
      <c r="P141" s="101"/>
      <c r="Q141" s="101"/>
      <c r="R141" s="100"/>
      <c r="S141" s="101"/>
      <c r="T141" s="102"/>
      <c r="U141" s="101"/>
      <c r="V141" s="102"/>
      <c r="W141" s="101"/>
      <c r="X141" s="103"/>
    </row>
    <row r="142" spans="1:25" s="76" customFormat="1" ht="39" customHeight="1" x14ac:dyDescent="0.2">
      <c r="A142" s="130" t="s">
        <v>130</v>
      </c>
      <c r="B142" s="105" t="s">
        <v>138</v>
      </c>
      <c r="C142" s="106"/>
      <c r="D142" s="107" t="s">
        <v>147</v>
      </c>
      <c r="E142" s="108" t="s">
        <v>49</v>
      </c>
      <c r="F142" s="105" t="s">
        <v>148</v>
      </c>
      <c r="G142" s="109"/>
      <c r="H142" s="109"/>
      <c r="I142" s="109"/>
      <c r="J142" s="106"/>
      <c r="K142" s="110">
        <f>SUM(K143:K144)</f>
        <v>161000</v>
      </c>
      <c r="L142" s="110">
        <f t="shared" ref="L142:S142" si="80">SUM(L143:L144)</f>
        <v>0</v>
      </c>
      <c r="M142" s="110">
        <f t="shared" si="80"/>
        <v>0</v>
      </c>
      <c r="N142" s="110">
        <f t="shared" si="80"/>
        <v>161000</v>
      </c>
      <c r="O142" s="110">
        <f t="shared" si="80"/>
        <v>66100</v>
      </c>
      <c r="P142" s="110">
        <f t="shared" si="80"/>
        <v>0</v>
      </c>
      <c r="Q142" s="110">
        <f t="shared" si="80"/>
        <v>0</v>
      </c>
      <c r="R142" s="110">
        <f t="shared" si="80"/>
        <v>94900</v>
      </c>
      <c r="S142" s="110">
        <f t="shared" si="80"/>
        <v>13900</v>
      </c>
      <c r="T142" s="111">
        <f>S142/R142</f>
        <v>0.14646996838777659</v>
      </c>
      <c r="U142" s="110">
        <f>SUM(U143:U144)</f>
        <v>13900</v>
      </c>
      <c r="V142" s="111">
        <f>U142/R142</f>
        <v>0.14646996838777659</v>
      </c>
      <c r="W142" s="110">
        <f>SUM(W143:W144)</f>
        <v>13900</v>
      </c>
      <c r="X142" s="112">
        <f>W142/R142</f>
        <v>0.14646996838777659</v>
      </c>
      <c r="Y142" s="75"/>
    </row>
    <row r="143" spans="1:25" s="90" customFormat="1" ht="39" customHeight="1" x14ac:dyDescent="0.2">
      <c r="A143" s="123" t="s">
        <v>130</v>
      </c>
      <c r="B143" s="78" t="s">
        <v>131</v>
      </c>
      <c r="C143" s="79" t="s">
        <v>51</v>
      </c>
      <c r="D143" s="80" t="s">
        <v>147</v>
      </c>
      <c r="E143" s="125" t="s">
        <v>49</v>
      </c>
      <c r="F143" s="82" t="s">
        <v>149</v>
      </c>
      <c r="G143" s="83">
        <v>1</v>
      </c>
      <c r="H143" s="79" t="s">
        <v>52</v>
      </c>
      <c r="I143" s="84" t="s">
        <v>53</v>
      </c>
      <c r="J143" s="85">
        <v>4</v>
      </c>
      <c r="K143" s="86">
        <v>160000</v>
      </c>
      <c r="L143" s="87">
        <v>0</v>
      </c>
      <c r="M143" s="87">
        <v>0</v>
      </c>
      <c r="N143" s="86">
        <f>K143+L143-M143</f>
        <v>160000</v>
      </c>
      <c r="O143" s="87">
        <f>66100</f>
        <v>66100</v>
      </c>
      <c r="P143" s="87">
        <v>0</v>
      </c>
      <c r="Q143" s="87">
        <v>0</v>
      </c>
      <c r="R143" s="86">
        <f>N143-O143+P143+Q143</f>
        <v>93900</v>
      </c>
      <c r="S143" s="87">
        <f>13900</f>
        <v>13900</v>
      </c>
      <c r="T143" s="88">
        <f>S143/R143</f>
        <v>0.14802981895633652</v>
      </c>
      <c r="U143" s="87">
        <f>13900</f>
        <v>13900</v>
      </c>
      <c r="V143" s="88">
        <f>U143/R143</f>
        <v>0.14802981895633652</v>
      </c>
      <c r="W143" s="87">
        <f>13900</f>
        <v>13900</v>
      </c>
      <c r="X143" s="89">
        <f>W143/R143</f>
        <v>0.14802981895633652</v>
      </c>
      <c r="Y143" s="65"/>
    </row>
    <row r="144" spans="1:25" s="90" customFormat="1" ht="39" customHeight="1" x14ac:dyDescent="0.2">
      <c r="A144" s="123" t="s">
        <v>130</v>
      </c>
      <c r="B144" s="78" t="s">
        <v>131</v>
      </c>
      <c r="C144" s="79" t="s">
        <v>51</v>
      </c>
      <c r="D144" s="80" t="s">
        <v>147</v>
      </c>
      <c r="E144" s="125" t="s">
        <v>49</v>
      </c>
      <c r="F144" s="82" t="s">
        <v>149</v>
      </c>
      <c r="G144" s="83">
        <v>1</v>
      </c>
      <c r="H144" s="79" t="s">
        <v>134</v>
      </c>
      <c r="I144" s="129" t="s">
        <v>135</v>
      </c>
      <c r="J144" s="85">
        <v>3</v>
      </c>
      <c r="K144" s="86">
        <v>1000</v>
      </c>
      <c r="L144" s="87">
        <v>0</v>
      </c>
      <c r="M144" s="87">
        <v>0</v>
      </c>
      <c r="N144" s="86">
        <f>K144+L144-M144</f>
        <v>1000</v>
      </c>
      <c r="O144" s="87">
        <v>0</v>
      </c>
      <c r="P144" s="87">
        <v>0</v>
      </c>
      <c r="Q144" s="87">
        <v>0</v>
      </c>
      <c r="R144" s="86">
        <f>N144-O144+P144+Q144</f>
        <v>1000</v>
      </c>
      <c r="S144" s="87">
        <v>0</v>
      </c>
      <c r="T144" s="88">
        <f>S144/R144</f>
        <v>0</v>
      </c>
      <c r="U144" s="87">
        <v>0</v>
      </c>
      <c r="V144" s="88">
        <f>U144/R144</f>
        <v>0</v>
      </c>
      <c r="W144" s="87">
        <v>0</v>
      </c>
      <c r="X144" s="89">
        <f>W144/R144</f>
        <v>0</v>
      </c>
      <c r="Y144" s="65"/>
    </row>
    <row r="145" spans="1:25" s="65" customFormat="1" ht="9" customHeight="1" x14ac:dyDescent="0.2">
      <c r="A145" s="134"/>
      <c r="B145" s="92"/>
      <c r="C145" s="93"/>
      <c r="D145" s="94"/>
      <c r="E145" s="95"/>
      <c r="F145" s="96"/>
      <c r="G145" s="97"/>
      <c r="H145" s="93"/>
      <c r="I145" s="98"/>
      <c r="J145" s="99"/>
      <c r="K145" s="101"/>
      <c r="L145" s="101"/>
      <c r="M145" s="101"/>
      <c r="N145" s="101"/>
      <c r="O145" s="101"/>
      <c r="P145" s="101"/>
      <c r="Q145" s="101"/>
      <c r="R145" s="101"/>
      <c r="S145" s="101"/>
      <c r="T145" s="102"/>
      <c r="U145" s="101"/>
      <c r="V145" s="102"/>
      <c r="W145" s="101"/>
      <c r="X145" s="103"/>
    </row>
    <row r="146" spans="1:25" s="76" customFormat="1" ht="39" customHeight="1" x14ac:dyDescent="0.2">
      <c r="A146" s="130" t="s">
        <v>130</v>
      </c>
      <c r="B146" s="105" t="s">
        <v>138</v>
      </c>
      <c r="C146" s="106"/>
      <c r="D146" s="107" t="s">
        <v>150</v>
      </c>
      <c r="E146" s="108" t="s">
        <v>49</v>
      </c>
      <c r="F146" s="105" t="s">
        <v>151</v>
      </c>
      <c r="G146" s="109"/>
      <c r="H146" s="109"/>
      <c r="I146" s="109"/>
      <c r="J146" s="106"/>
      <c r="K146" s="110">
        <f>SUM(K147:K148)</f>
        <v>1000000</v>
      </c>
      <c r="L146" s="110">
        <f t="shared" ref="L146:S146" si="81">SUM(L147:L148)</f>
        <v>0</v>
      </c>
      <c r="M146" s="110">
        <f t="shared" si="81"/>
        <v>990000</v>
      </c>
      <c r="N146" s="110">
        <f t="shared" si="81"/>
        <v>10000</v>
      </c>
      <c r="O146" s="110">
        <f t="shared" si="81"/>
        <v>0</v>
      </c>
      <c r="P146" s="110">
        <f t="shared" si="81"/>
        <v>0</v>
      </c>
      <c r="Q146" s="110">
        <f t="shared" si="81"/>
        <v>0</v>
      </c>
      <c r="R146" s="110">
        <f t="shared" si="81"/>
        <v>10000</v>
      </c>
      <c r="S146" s="110">
        <f t="shared" si="81"/>
        <v>0</v>
      </c>
      <c r="T146" s="111">
        <f>S146/R146</f>
        <v>0</v>
      </c>
      <c r="U146" s="110">
        <f>SUM(U147:U148)</f>
        <v>0</v>
      </c>
      <c r="V146" s="111">
        <f>U146/R146</f>
        <v>0</v>
      </c>
      <c r="W146" s="110">
        <f>SUM(W147:W148)</f>
        <v>0</v>
      </c>
      <c r="X146" s="112">
        <f>W146/R146</f>
        <v>0</v>
      </c>
      <c r="Y146" s="75"/>
    </row>
    <row r="147" spans="1:25" s="90" customFormat="1" ht="39" customHeight="1" x14ac:dyDescent="0.2">
      <c r="A147" s="123" t="s">
        <v>130</v>
      </c>
      <c r="B147" s="78" t="s">
        <v>131</v>
      </c>
      <c r="C147" s="79" t="s">
        <v>51</v>
      </c>
      <c r="D147" s="80" t="s">
        <v>150</v>
      </c>
      <c r="E147" s="125" t="s">
        <v>49</v>
      </c>
      <c r="F147" s="82" t="s">
        <v>151</v>
      </c>
      <c r="G147" s="83">
        <v>1</v>
      </c>
      <c r="H147" s="79" t="s">
        <v>134</v>
      </c>
      <c r="I147" s="129" t="s">
        <v>135</v>
      </c>
      <c r="J147" s="85">
        <v>3</v>
      </c>
      <c r="K147" s="86">
        <v>500000</v>
      </c>
      <c r="L147" s="87">
        <v>0</v>
      </c>
      <c r="M147" s="87">
        <f>495000</f>
        <v>495000</v>
      </c>
      <c r="N147" s="86">
        <f>K147+L147-M147</f>
        <v>5000</v>
      </c>
      <c r="O147" s="87">
        <v>0</v>
      </c>
      <c r="P147" s="87">
        <v>0</v>
      </c>
      <c r="Q147" s="87">
        <v>0</v>
      </c>
      <c r="R147" s="86">
        <f>N147-O147+P147+Q147</f>
        <v>5000</v>
      </c>
      <c r="S147" s="87">
        <v>0</v>
      </c>
      <c r="T147" s="88">
        <f>S147/R147</f>
        <v>0</v>
      </c>
      <c r="U147" s="87">
        <v>0</v>
      </c>
      <c r="V147" s="88">
        <f>U147/R147</f>
        <v>0</v>
      </c>
      <c r="W147" s="87">
        <v>0</v>
      </c>
      <c r="X147" s="89">
        <f>W147/R147</f>
        <v>0</v>
      </c>
      <c r="Y147" s="65"/>
    </row>
    <row r="148" spans="1:25" s="90" customFormat="1" ht="39" customHeight="1" x14ac:dyDescent="0.2">
      <c r="A148" s="123" t="s">
        <v>130</v>
      </c>
      <c r="B148" s="78" t="s">
        <v>131</v>
      </c>
      <c r="C148" s="79" t="s">
        <v>51</v>
      </c>
      <c r="D148" s="80" t="s">
        <v>150</v>
      </c>
      <c r="E148" s="125" t="s">
        <v>49</v>
      </c>
      <c r="F148" s="82" t="s">
        <v>151</v>
      </c>
      <c r="G148" s="83">
        <v>1</v>
      </c>
      <c r="H148" s="79" t="s">
        <v>134</v>
      </c>
      <c r="I148" s="129" t="s">
        <v>135</v>
      </c>
      <c r="J148" s="85">
        <v>4</v>
      </c>
      <c r="K148" s="86">
        <v>500000</v>
      </c>
      <c r="L148" s="87">
        <v>0</v>
      </c>
      <c r="M148" s="87">
        <f>495000</f>
        <v>495000</v>
      </c>
      <c r="N148" s="86">
        <f>K148+L148-M148</f>
        <v>5000</v>
      </c>
      <c r="O148" s="87">
        <v>0</v>
      </c>
      <c r="P148" s="87">
        <v>0</v>
      </c>
      <c r="Q148" s="87">
        <v>0</v>
      </c>
      <c r="R148" s="86">
        <f>N148-O148+P148+Q148</f>
        <v>5000</v>
      </c>
      <c r="S148" s="87">
        <v>0</v>
      </c>
      <c r="T148" s="88">
        <f>S148/R148</f>
        <v>0</v>
      </c>
      <c r="U148" s="87">
        <v>0</v>
      </c>
      <c r="V148" s="88">
        <f>U148/R148</f>
        <v>0</v>
      </c>
      <c r="W148" s="87">
        <v>0</v>
      </c>
      <c r="X148" s="89">
        <f>W148/R148</f>
        <v>0</v>
      </c>
      <c r="Y148" s="65"/>
    </row>
    <row r="149" spans="1:25" s="65" customFormat="1" ht="9" customHeight="1" x14ac:dyDescent="0.2">
      <c r="A149" s="134"/>
      <c r="B149" s="92"/>
      <c r="C149" s="93"/>
      <c r="D149" s="94"/>
      <c r="E149" s="95"/>
      <c r="F149" s="96"/>
      <c r="G149" s="97"/>
      <c r="H149" s="93"/>
      <c r="I149" s="98"/>
      <c r="J149" s="99"/>
      <c r="K149" s="101"/>
      <c r="L149" s="101"/>
      <c r="M149" s="101"/>
      <c r="N149" s="101"/>
      <c r="O149" s="101"/>
      <c r="P149" s="101"/>
      <c r="Q149" s="101"/>
      <c r="R149" s="101"/>
      <c r="S149" s="101"/>
      <c r="T149" s="102"/>
      <c r="U149" s="101"/>
      <c r="V149" s="102"/>
      <c r="W149" s="101"/>
      <c r="X149" s="103"/>
    </row>
    <row r="150" spans="1:25" s="76" customFormat="1" ht="39" customHeight="1" x14ac:dyDescent="0.2">
      <c r="A150" s="130" t="s">
        <v>130</v>
      </c>
      <c r="B150" s="105" t="s">
        <v>138</v>
      </c>
      <c r="C150" s="106"/>
      <c r="D150" s="107" t="s">
        <v>152</v>
      </c>
      <c r="E150" s="108" t="s">
        <v>49</v>
      </c>
      <c r="F150" s="105" t="s">
        <v>153</v>
      </c>
      <c r="G150" s="109"/>
      <c r="H150" s="109"/>
      <c r="I150" s="109"/>
      <c r="J150" s="106"/>
      <c r="K150" s="110">
        <f>K151</f>
        <v>51500</v>
      </c>
      <c r="L150" s="110">
        <f t="shared" ref="L150:S150" si="82">L151</f>
        <v>0</v>
      </c>
      <c r="M150" s="110">
        <f t="shared" si="82"/>
        <v>0</v>
      </c>
      <c r="N150" s="110">
        <f t="shared" si="82"/>
        <v>51500</v>
      </c>
      <c r="O150" s="110">
        <f t="shared" si="82"/>
        <v>0</v>
      </c>
      <c r="P150" s="110">
        <f t="shared" si="82"/>
        <v>0</v>
      </c>
      <c r="Q150" s="110">
        <f t="shared" si="82"/>
        <v>0</v>
      </c>
      <c r="R150" s="110">
        <f t="shared" si="82"/>
        <v>51500</v>
      </c>
      <c r="S150" s="110">
        <f t="shared" si="82"/>
        <v>3954.96</v>
      </c>
      <c r="T150" s="111">
        <f>S150/R150</f>
        <v>7.6795339805825244E-2</v>
      </c>
      <c r="U150" s="110">
        <f>U151</f>
        <v>3954.96</v>
      </c>
      <c r="V150" s="111">
        <f>U150/R150</f>
        <v>7.6795339805825244E-2</v>
      </c>
      <c r="W150" s="110">
        <f>W151</f>
        <v>3954.96</v>
      </c>
      <c r="X150" s="112">
        <f>W150/R150</f>
        <v>7.6795339805825244E-2</v>
      </c>
      <c r="Y150" s="75"/>
    </row>
    <row r="151" spans="1:25" s="90" customFormat="1" ht="39" customHeight="1" x14ac:dyDescent="0.2">
      <c r="A151" s="123" t="s">
        <v>130</v>
      </c>
      <c r="B151" s="78" t="s">
        <v>131</v>
      </c>
      <c r="C151" s="79" t="s">
        <v>51</v>
      </c>
      <c r="D151" s="80" t="s">
        <v>152</v>
      </c>
      <c r="E151" s="81" t="s">
        <v>49</v>
      </c>
      <c r="F151" s="82" t="s">
        <v>153</v>
      </c>
      <c r="G151" s="83">
        <v>1</v>
      </c>
      <c r="H151" s="79" t="s">
        <v>134</v>
      </c>
      <c r="I151" s="129" t="s">
        <v>135</v>
      </c>
      <c r="J151" s="85">
        <v>3</v>
      </c>
      <c r="K151" s="86">
        <v>51500</v>
      </c>
      <c r="L151" s="87">
        <v>0</v>
      </c>
      <c r="M151" s="87">
        <v>0</v>
      </c>
      <c r="N151" s="86">
        <f>K151+L151-M151</f>
        <v>51500</v>
      </c>
      <c r="O151" s="87">
        <v>0</v>
      </c>
      <c r="P151" s="87">
        <v>0</v>
      </c>
      <c r="Q151" s="87">
        <v>0</v>
      </c>
      <c r="R151" s="86">
        <f>N151-O151+P151+Q151</f>
        <v>51500</v>
      </c>
      <c r="S151" s="87">
        <f>1080+3179.36-91.85-124-88.55</f>
        <v>3954.96</v>
      </c>
      <c r="T151" s="88">
        <f>S151/R151</f>
        <v>7.6795339805825244E-2</v>
      </c>
      <c r="U151" s="87">
        <f>1080+3087.51-124-88.55</f>
        <v>3954.96</v>
      </c>
      <c r="V151" s="88">
        <f>U151/R151</f>
        <v>7.6795339805825244E-2</v>
      </c>
      <c r="W151" s="87">
        <f>1080+3087.51-124-88.55</f>
        <v>3954.96</v>
      </c>
      <c r="X151" s="89">
        <f>W151/R151</f>
        <v>7.6795339805825244E-2</v>
      </c>
      <c r="Y151" s="65"/>
    </row>
    <row r="152" spans="1:25" s="65" customFormat="1" ht="9" customHeight="1" x14ac:dyDescent="0.2">
      <c r="A152" s="134"/>
      <c r="B152" s="92"/>
      <c r="C152" s="93"/>
      <c r="D152" s="94"/>
      <c r="E152" s="95"/>
      <c r="F152" s="96"/>
      <c r="G152" s="97"/>
      <c r="H152" s="93"/>
      <c r="I152" s="98"/>
      <c r="J152" s="99"/>
      <c r="K152" s="101"/>
      <c r="L152" s="101"/>
      <c r="M152" s="101"/>
      <c r="N152" s="101"/>
      <c r="O152" s="101"/>
      <c r="P152" s="101"/>
      <c r="Q152" s="101"/>
      <c r="R152" s="101"/>
      <c r="S152" s="101"/>
      <c r="T152" s="102"/>
      <c r="U152" s="101"/>
      <c r="V152" s="102"/>
      <c r="W152" s="101"/>
      <c r="X152" s="103"/>
    </row>
    <row r="153" spans="1:25" s="76" customFormat="1" ht="39" customHeight="1" x14ac:dyDescent="0.2">
      <c r="A153" s="130" t="s">
        <v>130</v>
      </c>
      <c r="B153" s="105" t="s">
        <v>138</v>
      </c>
      <c r="C153" s="106"/>
      <c r="D153" s="107" t="s">
        <v>154</v>
      </c>
      <c r="E153" s="108" t="s">
        <v>49</v>
      </c>
      <c r="F153" s="105" t="s">
        <v>155</v>
      </c>
      <c r="G153" s="109"/>
      <c r="H153" s="109"/>
      <c r="I153" s="109"/>
      <c r="J153" s="106"/>
      <c r="K153" s="110">
        <f>SUM(K154:K154)</f>
        <v>242000</v>
      </c>
      <c r="L153" s="110">
        <f t="shared" ref="L153:S153" si="83">SUM(L154:L154)</f>
        <v>0</v>
      </c>
      <c r="M153" s="110">
        <f t="shared" si="83"/>
        <v>68309</v>
      </c>
      <c r="N153" s="110">
        <f t="shared" si="83"/>
        <v>173691</v>
      </c>
      <c r="O153" s="110">
        <f t="shared" si="83"/>
        <v>69384.990000000005</v>
      </c>
      <c r="P153" s="110">
        <f t="shared" si="83"/>
        <v>0</v>
      </c>
      <c r="Q153" s="110">
        <f t="shared" si="83"/>
        <v>0</v>
      </c>
      <c r="R153" s="110">
        <f t="shared" si="83"/>
        <v>104306.01</v>
      </c>
      <c r="S153" s="110">
        <f t="shared" si="83"/>
        <v>15653.19</v>
      </c>
      <c r="T153" s="111">
        <f>S153/R153</f>
        <v>0.15006987612698444</v>
      </c>
      <c r="U153" s="110">
        <f>SUM(U154:U154)</f>
        <v>15653.19</v>
      </c>
      <c r="V153" s="111">
        <f>U153/R153</f>
        <v>0.15006987612698444</v>
      </c>
      <c r="W153" s="110">
        <f>SUM(W154:W154)</f>
        <v>15653.19</v>
      </c>
      <c r="X153" s="112">
        <f>W153/R153</f>
        <v>0.15006987612698444</v>
      </c>
      <c r="Y153" s="75"/>
    </row>
    <row r="154" spans="1:25" s="90" customFormat="1" ht="39" customHeight="1" x14ac:dyDescent="0.2">
      <c r="A154" s="123" t="s">
        <v>130</v>
      </c>
      <c r="B154" s="78" t="s">
        <v>131</v>
      </c>
      <c r="C154" s="79" t="s">
        <v>51</v>
      </c>
      <c r="D154" s="80" t="s">
        <v>154</v>
      </c>
      <c r="E154" s="81" t="s">
        <v>49</v>
      </c>
      <c r="F154" s="82" t="s">
        <v>156</v>
      </c>
      <c r="G154" s="83">
        <v>1</v>
      </c>
      <c r="H154" s="79" t="s">
        <v>134</v>
      </c>
      <c r="I154" s="129" t="s">
        <v>135</v>
      </c>
      <c r="J154" s="85">
        <v>3</v>
      </c>
      <c r="K154" s="86">
        <v>242000</v>
      </c>
      <c r="L154" s="87">
        <v>0</v>
      </c>
      <c r="M154" s="87">
        <f>68309</f>
        <v>68309</v>
      </c>
      <c r="N154" s="86">
        <f>K154+L154-M154</f>
        <v>173691</v>
      </c>
      <c r="O154" s="87">
        <f>69384.99</f>
        <v>69384.990000000005</v>
      </c>
      <c r="P154" s="87">
        <v>0</v>
      </c>
      <c r="Q154" s="87">
        <v>0</v>
      </c>
      <c r="R154" s="86">
        <f>N154-O154+P154+Q154</f>
        <v>104306.01</v>
      </c>
      <c r="S154" s="87">
        <f>14585.7+2875.14-1807.65</f>
        <v>15653.19</v>
      </c>
      <c r="T154" s="88">
        <f>S154/R154</f>
        <v>0.15006987612698444</v>
      </c>
      <c r="U154" s="87">
        <f>14585.7+2875.14-1807.65</f>
        <v>15653.19</v>
      </c>
      <c r="V154" s="88">
        <f>U154/R154</f>
        <v>0.15006987612698444</v>
      </c>
      <c r="W154" s="87">
        <f>11946.98+5513.86-1807.65</f>
        <v>15653.19</v>
      </c>
      <c r="X154" s="89">
        <f>W154/R154</f>
        <v>0.15006987612698444</v>
      </c>
      <c r="Y154" s="65"/>
    </row>
    <row r="155" spans="1:25" s="65" customFormat="1" ht="9" customHeight="1" x14ac:dyDescent="0.2">
      <c r="A155" s="134"/>
      <c r="B155" s="92"/>
      <c r="C155" s="93"/>
      <c r="D155" s="94"/>
      <c r="E155" s="95"/>
      <c r="F155" s="96"/>
      <c r="G155" s="97"/>
      <c r="H155" s="93"/>
      <c r="I155" s="98"/>
      <c r="J155" s="99"/>
      <c r="K155" s="101"/>
      <c r="L155" s="101"/>
      <c r="M155" s="101"/>
      <c r="N155" s="101"/>
      <c r="O155" s="101"/>
      <c r="P155" s="101"/>
      <c r="Q155" s="101"/>
      <c r="R155" s="101"/>
      <c r="S155" s="101"/>
      <c r="T155" s="102"/>
      <c r="U155" s="101"/>
      <c r="V155" s="102"/>
      <c r="W155" s="101"/>
      <c r="X155" s="103"/>
    </row>
    <row r="156" spans="1:25" s="76" customFormat="1" ht="39" customHeight="1" x14ac:dyDescent="0.2">
      <c r="A156" s="130" t="s">
        <v>130</v>
      </c>
      <c r="B156" s="105" t="s">
        <v>138</v>
      </c>
      <c r="C156" s="106"/>
      <c r="D156" s="107" t="s">
        <v>157</v>
      </c>
      <c r="E156" s="108" t="s">
        <v>49</v>
      </c>
      <c r="F156" s="105" t="s">
        <v>158</v>
      </c>
      <c r="G156" s="109"/>
      <c r="H156" s="109"/>
      <c r="I156" s="109"/>
      <c r="J156" s="106"/>
      <c r="K156" s="110">
        <f>SUM(K157:K157)</f>
        <v>1205000</v>
      </c>
      <c r="L156" s="110">
        <f t="shared" ref="L156:S156" si="84">SUM(L157:L157)</f>
        <v>0</v>
      </c>
      <c r="M156" s="110">
        <f t="shared" si="84"/>
        <v>0</v>
      </c>
      <c r="N156" s="110">
        <f t="shared" si="84"/>
        <v>1205000</v>
      </c>
      <c r="O156" s="110">
        <f t="shared" si="84"/>
        <v>0</v>
      </c>
      <c r="P156" s="110">
        <f t="shared" si="84"/>
        <v>0</v>
      </c>
      <c r="Q156" s="110">
        <f t="shared" si="84"/>
        <v>0</v>
      </c>
      <c r="R156" s="110">
        <f t="shared" si="84"/>
        <v>1205000</v>
      </c>
      <c r="S156" s="110">
        <f t="shared" si="84"/>
        <v>1038138.74</v>
      </c>
      <c r="T156" s="111">
        <f>S156/R156</f>
        <v>0.86152592531120331</v>
      </c>
      <c r="U156" s="110">
        <f>SUM(U157:U157)</f>
        <v>1033517.6600000001</v>
      </c>
      <c r="V156" s="111">
        <f>U156/R156</f>
        <v>0.85769100414937771</v>
      </c>
      <c r="W156" s="110">
        <f>SUM(W157:W157)</f>
        <v>1019486.7200000001</v>
      </c>
      <c r="X156" s="112">
        <f>W156/R156</f>
        <v>0.84604707053941919</v>
      </c>
      <c r="Y156" s="75"/>
    </row>
    <row r="157" spans="1:25" s="76" customFormat="1" ht="39" customHeight="1" x14ac:dyDescent="0.2">
      <c r="A157" s="123" t="s">
        <v>130</v>
      </c>
      <c r="B157" s="78" t="s">
        <v>131</v>
      </c>
      <c r="C157" s="79" t="s">
        <v>51</v>
      </c>
      <c r="D157" s="80" t="s">
        <v>157</v>
      </c>
      <c r="E157" s="81" t="s">
        <v>49</v>
      </c>
      <c r="F157" s="82" t="s">
        <v>158</v>
      </c>
      <c r="G157" s="83">
        <v>1</v>
      </c>
      <c r="H157" s="79" t="s">
        <v>134</v>
      </c>
      <c r="I157" s="129" t="s">
        <v>135</v>
      </c>
      <c r="J157" s="85">
        <v>3</v>
      </c>
      <c r="K157" s="86">
        <v>1205000</v>
      </c>
      <c r="L157" s="87">
        <v>0</v>
      </c>
      <c r="M157" s="87">
        <v>0</v>
      </c>
      <c r="N157" s="86">
        <f t="shared" ref="N157" si="85">K157+L157-M157</f>
        <v>1205000</v>
      </c>
      <c r="O157" s="87">
        <v>0</v>
      </c>
      <c r="P157" s="87">
        <v>0</v>
      </c>
      <c r="Q157" s="87">
        <v>0</v>
      </c>
      <c r="R157" s="86">
        <f t="shared" ref="R157" si="86">N157-O157+P157+Q157</f>
        <v>1205000</v>
      </c>
      <c r="S157" s="87">
        <f>95000+97544.1+109103.8+102000+104000+205897.1+201743.38+122850.36</f>
        <v>1038138.74</v>
      </c>
      <c r="T157" s="88">
        <f>S157/R157</f>
        <v>0.86152592531120331</v>
      </c>
      <c r="U157" s="87">
        <f>93619.61+779.31+205741.9+101299+102494.7+204989.4+102336.3+222257.44</f>
        <v>1033517.6600000001</v>
      </c>
      <c r="V157" s="88">
        <f>U157/R157</f>
        <v>0.85769100414937771</v>
      </c>
      <c r="W157" s="87">
        <f>82515.14+11779.87+193932.31+101299.5+102494.7+11913+193076.4+11913+102336.3+208226.5</f>
        <v>1019486.7200000001</v>
      </c>
      <c r="X157" s="89">
        <f>W157/R157</f>
        <v>0.84604707053941919</v>
      </c>
      <c r="Y157" s="75"/>
    </row>
    <row r="158" spans="1:25" s="65" customFormat="1" ht="9" customHeight="1" x14ac:dyDescent="0.2">
      <c r="A158" s="134"/>
      <c r="B158" s="92"/>
      <c r="C158" s="93"/>
      <c r="D158" s="94"/>
      <c r="E158" s="95"/>
      <c r="F158" s="96"/>
      <c r="G158" s="97"/>
      <c r="H158" s="93"/>
      <c r="I158" s="98"/>
      <c r="J158" s="99"/>
      <c r="K158" s="101"/>
      <c r="L158" s="101"/>
      <c r="M158" s="101"/>
      <c r="N158" s="101"/>
      <c r="O158" s="101"/>
      <c r="P158" s="101"/>
      <c r="Q158" s="101"/>
      <c r="R158" s="101"/>
      <c r="S158" s="101"/>
      <c r="T158" s="102"/>
      <c r="U158" s="101"/>
      <c r="V158" s="102"/>
      <c r="W158" s="101"/>
      <c r="X158" s="103"/>
    </row>
    <row r="159" spans="1:25" s="76" customFormat="1" ht="39" customHeight="1" x14ac:dyDescent="0.2">
      <c r="A159" s="130" t="s">
        <v>130</v>
      </c>
      <c r="B159" s="105" t="s">
        <v>138</v>
      </c>
      <c r="C159" s="106"/>
      <c r="D159" s="107" t="s">
        <v>159</v>
      </c>
      <c r="E159" s="108" t="s">
        <v>49</v>
      </c>
      <c r="F159" s="105" t="s">
        <v>160</v>
      </c>
      <c r="G159" s="109"/>
      <c r="H159" s="109"/>
      <c r="I159" s="109"/>
      <c r="J159" s="106"/>
      <c r="K159" s="110">
        <f>SUM(K160:K161)</f>
        <v>30000</v>
      </c>
      <c r="L159" s="110">
        <f t="shared" ref="L159:S159" si="87">SUM(L160:L161)</f>
        <v>0</v>
      </c>
      <c r="M159" s="110">
        <f t="shared" si="87"/>
        <v>0</v>
      </c>
      <c r="N159" s="110">
        <f t="shared" si="87"/>
        <v>30000</v>
      </c>
      <c r="O159" s="110">
        <f t="shared" si="87"/>
        <v>9000</v>
      </c>
      <c r="P159" s="110">
        <f t="shared" si="87"/>
        <v>0</v>
      </c>
      <c r="Q159" s="110">
        <f t="shared" si="87"/>
        <v>0</v>
      </c>
      <c r="R159" s="110">
        <f t="shared" si="87"/>
        <v>21000</v>
      </c>
      <c r="S159" s="110">
        <f t="shared" si="87"/>
        <v>442.17</v>
      </c>
      <c r="T159" s="111">
        <f>S159/R159</f>
        <v>2.1055714285714285E-2</v>
      </c>
      <c r="U159" s="110">
        <f>SUM(U160:U161)</f>
        <v>442.17</v>
      </c>
      <c r="V159" s="111">
        <f>U159/R159</f>
        <v>2.1055714285714285E-2</v>
      </c>
      <c r="W159" s="110">
        <f>SUM(W160:W161)</f>
        <v>442.17</v>
      </c>
      <c r="X159" s="112">
        <f>W159/R159</f>
        <v>2.1055714285714285E-2</v>
      </c>
      <c r="Y159" s="135"/>
    </row>
    <row r="160" spans="1:25" s="90" customFormat="1" ht="39" customHeight="1" x14ac:dyDescent="0.2">
      <c r="A160" s="123" t="s">
        <v>130</v>
      </c>
      <c r="B160" s="78" t="s">
        <v>131</v>
      </c>
      <c r="C160" s="79" t="s">
        <v>51</v>
      </c>
      <c r="D160" s="80" t="s">
        <v>159</v>
      </c>
      <c r="E160" s="81" t="s">
        <v>49</v>
      </c>
      <c r="F160" s="82" t="s">
        <v>160</v>
      </c>
      <c r="G160" s="83">
        <v>1</v>
      </c>
      <c r="H160" s="79" t="s">
        <v>52</v>
      </c>
      <c r="I160" s="84" t="s">
        <v>53</v>
      </c>
      <c r="J160" s="85">
        <v>4</v>
      </c>
      <c r="K160" s="86">
        <v>4000</v>
      </c>
      <c r="L160" s="87">
        <v>0</v>
      </c>
      <c r="M160" s="87">
        <v>0</v>
      </c>
      <c r="N160" s="86">
        <f>K160+L160-M160</f>
        <v>4000</v>
      </c>
      <c r="O160" s="87">
        <f>4000</f>
        <v>4000</v>
      </c>
      <c r="P160" s="87">
        <v>0</v>
      </c>
      <c r="Q160" s="87">
        <v>0</v>
      </c>
      <c r="R160" s="86">
        <f>N160-O160+P160+Q160</f>
        <v>0</v>
      </c>
      <c r="S160" s="87">
        <v>0</v>
      </c>
      <c r="T160" s="88">
        <v>0</v>
      </c>
      <c r="U160" s="87">
        <v>0</v>
      </c>
      <c r="V160" s="88">
        <v>0</v>
      </c>
      <c r="W160" s="87">
        <v>0</v>
      </c>
      <c r="X160" s="89">
        <v>0</v>
      </c>
      <c r="Y160" s="136"/>
    </row>
    <row r="161" spans="1:25" s="90" customFormat="1" ht="39" customHeight="1" x14ac:dyDescent="0.2">
      <c r="A161" s="123" t="s">
        <v>130</v>
      </c>
      <c r="B161" s="78" t="s">
        <v>131</v>
      </c>
      <c r="C161" s="79" t="s">
        <v>51</v>
      </c>
      <c r="D161" s="80" t="s">
        <v>159</v>
      </c>
      <c r="E161" s="81" t="s">
        <v>49</v>
      </c>
      <c r="F161" s="82" t="s">
        <v>160</v>
      </c>
      <c r="G161" s="83">
        <v>1</v>
      </c>
      <c r="H161" s="79" t="s">
        <v>134</v>
      </c>
      <c r="I161" s="129" t="s">
        <v>135</v>
      </c>
      <c r="J161" s="85">
        <v>3</v>
      </c>
      <c r="K161" s="86">
        <v>26000</v>
      </c>
      <c r="L161" s="87">
        <v>0</v>
      </c>
      <c r="M161" s="87">
        <v>0</v>
      </c>
      <c r="N161" s="86">
        <f>K161+L161-M161</f>
        <v>26000</v>
      </c>
      <c r="O161" s="87">
        <f>5000</f>
        <v>5000</v>
      </c>
      <c r="P161" s="87">
        <v>0</v>
      </c>
      <c r="Q161" s="87">
        <v>0</v>
      </c>
      <c r="R161" s="86">
        <f>N161-O161+P161+Q161</f>
        <v>21000</v>
      </c>
      <c r="S161" s="87">
        <f>442.17</f>
        <v>442.17</v>
      </c>
      <c r="T161" s="88">
        <f>S161/R161</f>
        <v>2.1055714285714285E-2</v>
      </c>
      <c r="U161" s="87">
        <f>442.17</f>
        <v>442.17</v>
      </c>
      <c r="V161" s="88">
        <f>U161/R161</f>
        <v>2.1055714285714285E-2</v>
      </c>
      <c r="W161" s="87">
        <f>442.17</f>
        <v>442.17</v>
      </c>
      <c r="X161" s="89">
        <f>W161/R161</f>
        <v>2.1055714285714285E-2</v>
      </c>
      <c r="Y161" s="136"/>
    </row>
    <row r="162" spans="1:25" s="65" customFormat="1" ht="9" customHeight="1" x14ac:dyDescent="0.2">
      <c r="A162" s="134"/>
      <c r="B162" s="92"/>
      <c r="C162" s="93"/>
      <c r="D162" s="94"/>
      <c r="E162" s="95"/>
      <c r="F162" s="96"/>
      <c r="G162" s="97"/>
      <c r="H162" s="93"/>
      <c r="I162" s="98"/>
      <c r="J162" s="99"/>
      <c r="K162" s="101"/>
      <c r="L162" s="101"/>
      <c r="M162" s="101"/>
      <c r="N162" s="101"/>
      <c r="O162" s="101"/>
      <c r="P162" s="101"/>
      <c r="Q162" s="101"/>
      <c r="R162" s="101"/>
      <c r="S162" s="101"/>
      <c r="T162" s="102"/>
      <c r="U162" s="101"/>
      <c r="V162" s="102"/>
      <c r="W162" s="101"/>
      <c r="X162" s="103"/>
    </row>
    <row r="163" spans="1:25" s="76" customFormat="1" ht="39" customHeight="1" x14ac:dyDescent="0.2">
      <c r="A163" s="130" t="s">
        <v>130</v>
      </c>
      <c r="B163" s="105" t="s">
        <v>138</v>
      </c>
      <c r="C163" s="106"/>
      <c r="D163" s="107" t="s">
        <v>161</v>
      </c>
      <c r="E163" s="108" t="s">
        <v>49</v>
      </c>
      <c r="F163" s="105" t="s">
        <v>162</v>
      </c>
      <c r="G163" s="109"/>
      <c r="H163" s="109"/>
      <c r="I163" s="109"/>
      <c r="J163" s="106"/>
      <c r="K163" s="110">
        <f>SUM(K164:K169)</f>
        <v>8403570</v>
      </c>
      <c r="L163" s="110">
        <f t="shared" ref="L163:S163" si="88">SUM(L164:L169)</f>
        <v>1748741</v>
      </c>
      <c r="M163" s="110">
        <f t="shared" si="88"/>
        <v>230000</v>
      </c>
      <c r="N163" s="110">
        <f t="shared" si="88"/>
        <v>9922311</v>
      </c>
      <c r="O163" s="110">
        <f t="shared" si="88"/>
        <v>620640.08000000007</v>
      </c>
      <c r="P163" s="110">
        <f t="shared" si="88"/>
        <v>0</v>
      </c>
      <c r="Q163" s="110">
        <f t="shared" si="88"/>
        <v>0</v>
      </c>
      <c r="R163" s="110">
        <f t="shared" si="88"/>
        <v>9301670.9199999999</v>
      </c>
      <c r="S163" s="110">
        <f t="shared" si="88"/>
        <v>5612154.3300000001</v>
      </c>
      <c r="T163" s="111">
        <f t="shared" ref="T163:T169" si="89">S163/R163</f>
        <v>0.60334905182820642</v>
      </c>
      <c r="U163" s="110">
        <f>SUM(U164:U169)</f>
        <v>3342890.9500000007</v>
      </c>
      <c r="V163" s="111">
        <f t="shared" ref="V163:V169" si="90">U163/R163</f>
        <v>0.35938606931495282</v>
      </c>
      <c r="W163" s="110">
        <f>SUM(W164:W169)</f>
        <v>3341585.7500000005</v>
      </c>
      <c r="X163" s="112">
        <f t="shared" ref="X163:X169" si="91">W163/R163</f>
        <v>0.35924575043985757</v>
      </c>
      <c r="Y163" s="75"/>
    </row>
    <row r="164" spans="1:25" s="90" customFormat="1" ht="39" customHeight="1" x14ac:dyDescent="0.2">
      <c r="A164" s="123" t="s">
        <v>130</v>
      </c>
      <c r="B164" s="78" t="s">
        <v>131</v>
      </c>
      <c r="C164" s="79" t="s">
        <v>51</v>
      </c>
      <c r="D164" s="80" t="s">
        <v>161</v>
      </c>
      <c r="E164" s="81" t="s">
        <v>49</v>
      </c>
      <c r="F164" s="82" t="s">
        <v>162</v>
      </c>
      <c r="G164" s="83">
        <v>1</v>
      </c>
      <c r="H164" s="79" t="s">
        <v>52</v>
      </c>
      <c r="I164" s="84" t="s">
        <v>53</v>
      </c>
      <c r="J164" s="79" t="s">
        <v>163</v>
      </c>
      <c r="K164" s="86">
        <v>1628000</v>
      </c>
      <c r="L164" s="87">
        <v>0</v>
      </c>
      <c r="M164" s="87">
        <v>0</v>
      </c>
      <c r="N164" s="86">
        <f>K164+L164-M164</f>
        <v>1628000</v>
      </c>
      <c r="O164" s="87">
        <v>0</v>
      </c>
      <c r="P164" s="87">
        <v>0</v>
      </c>
      <c r="Q164" s="87">
        <v>0</v>
      </c>
      <c r="R164" s="86">
        <f>N164-O164+P164+Q164</f>
        <v>1628000</v>
      </c>
      <c r="S164" s="87">
        <f>164289.03+359113.79+345541.05+167907.16</f>
        <v>1036851.0299999999</v>
      </c>
      <c r="T164" s="88">
        <f t="shared" si="89"/>
        <v>0.63688638206388204</v>
      </c>
      <c r="U164" s="87">
        <f>175446.59+8343.86</f>
        <v>183790.45</v>
      </c>
      <c r="V164" s="88">
        <f t="shared" si="90"/>
        <v>0.11289339680589681</v>
      </c>
      <c r="W164" s="87">
        <f>175446.59+8343.86</f>
        <v>183790.45</v>
      </c>
      <c r="X164" s="89">
        <f t="shared" si="91"/>
        <v>0.11289339680589681</v>
      </c>
      <c r="Y164" s="65"/>
    </row>
    <row r="165" spans="1:25" s="90" customFormat="1" ht="39" customHeight="1" x14ac:dyDescent="0.2">
      <c r="A165" s="123" t="s">
        <v>130</v>
      </c>
      <c r="B165" s="78" t="s">
        <v>131</v>
      </c>
      <c r="C165" s="79" t="s">
        <v>51</v>
      </c>
      <c r="D165" s="80" t="s">
        <v>161</v>
      </c>
      <c r="E165" s="81" t="s">
        <v>49</v>
      </c>
      <c r="F165" s="82" t="s">
        <v>162</v>
      </c>
      <c r="G165" s="83">
        <v>1</v>
      </c>
      <c r="H165" s="79" t="s">
        <v>52</v>
      </c>
      <c r="I165" s="84" t="s">
        <v>53</v>
      </c>
      <c r="J165" s="79" t="s">
        <v>164</v>
      </c>
      <c r="K165" s="86">
        <v>100000</v>
      </c>
      <c r="L165" s="87">
        <v>0</v>
      </c>
      <c r="M165" s="87">
        <v>0</v>
      </c>
      <c r="N165" s="86">
        <f>K165+L165-M165</f>
        <v>100000</v>
      </c>
      <c r="O165" s="87">
        <f>100000</f>
        <v>100000</v>
      </c>
      <c r="P165" s="87">
        <v>0</v>
      </c>
      <c r="Q165" s="87">
        <v>0</v>
      </c>
      <c r="R165" s="86">
        <f>N165-O165+P165+Q165</f>
        <v>0</v>
      </c>
      <c r="S165" s="87">
        <v>0</v>
      </c>
      <c r="T165" s="88">
        <v>0</v>
      </c>
      <c r="U165" s="87">
        <v>0</v>
      </c>
      <c r="V165" s="88">
        <v>0</v>
      </c>
      <c r="W165" s="87">
        <v>0</v>
      </c>
      <c r="X165" s="89">
        <v>0</v>
      </c>
      <c r="Y165" s="65"/>
    </row>
    <row r="166" spans="1:25" s="90" customFormat="1" ht="39" customHeight="1" x14ac:dyDescent="0.2">
      <c r="A166" s="123" t="s">
        <v>130</v>
      </c>
      <c r="B166" s="78" t="s">
        <v>131</v>
      </c>
      <c r="C166" s="79" t="s">
        <v>51</v>
      </c>
      <c r="D166" s="80" t="s">
        <v>161</v>
      </c>
      <c r="E166" s="81" t="s">
        <v>49</v>
      </c>
      <c r="F166" s="82" t="s">
        <v>162</v>
      </c>
      <c r="G166" s="83">
        <v>1</v>
      </c>
      <c r="H166" s="79" t="s">
        <v>134</v>
      </c>
      <c r="I166" s="129" t="s">
        <v>135</v>
      </c>
      <c r="J166" s="85">
        <v>3</v>
      </c>
      <c r="K166" s="86">
        <v>6675570</v>
      </c>
      <c r="L166" s="87">
        <f>16000</f>
        <v>16000</v>
      </c>
      <c r="M166" s="87">
        <f>50000</f>
        <v>50000</v>
      </c>
      <c r="N166" s="86">
        <f>K166+L166-M166</f>
        <v>6641570</v>
      </c>
      <c r="O166" s="87">
        <v>0</v>
      </c>
      <c r="P166" s="87">
        <v>0</v>
      </c>
      <c r="Q166" s="87">
        <v>0</v>
      </c>
      <c r="R166" s="86">
        <f>N166-O166+P166+Q166</f>
        <v>6641570</v>
      </c>
      <c r="S166" s="87">
        <f>172701.9+505968.56+588916.42+332608.63+169202.49+403082.96+771597.26+259586.47+278193.74+554221.75</f>
        <v>4036080.1799999997</v>
      </c>
      <c r="T166" s="88">
        <f t="shared" si="89"/>
        <v>0.60769971256796207</v>
      </c>
      <c r="U166" s="87">
        <f>22410.18+105645.92+89339.31+325309.02+283371.21+102573.93+743027.25+243533.78+392069.47+590904.7</f>
        <v>2898184.7700000005</v>
      </c>
      <c r="V166" s="88">
        <f t="shared" si="90"/>
        <v>0.43637043199123104</v>
      </c>
      <c r="W166" s="87">
        <f>9186.93+113226.17+94982.31+229941.04+361391.75+107056.77+613109.76+386315.87+380402.81+601266.16</f>
        <v>2896879.5700000003</v>
      </c>
      <c r="X166" s="89">
        <f t="shared" si="91"/>
        <v>0.4361739121924485</v>
      </c>
      <c r="Y166" s="65"/>
    </row>
    <row r="167" spans="1:25" s="90" customFormat="1" ht="39" customHeight="1" x14ac:dyDescent="0.2">
      <c r="A167" s="123" t="s">
        <v>130</v>
      </c>
      <c r="B167" s="78" t="s">
        <v>131</v>
      </c>
      <c r="C167" s="79" t="s">
        <v>51</v>
      </c>
      <c r="D167" s="80" t="s">
        <v>161</v>
      </c>
      <c r="E167" s="81" t="s">
        <v>49</v>
      </c>
      <c r="F167" s="82" t="s">
        <v>162</v>
      </c>
      <c r="G167" s="83">
        <v>1</v>
      </c>
      <c r="H167" s="79" t="s">
        <v>134</v>
      </c>
      <c r="I167" s="129" t="s">
        <v>135</v>
      </c>
      <c r="J167" s="85">
        <v>4</v>
      </c>
      <c r="K167" s="86">
        <v>0</v>
      </c>
      <c r="L167" s="87">
        <f>248585</f>
        <v>248585</v>
      </c>
      <c r="M167" s="87">
        <v>0</v>
      </c>
      <c r="N167" s="86">
        <f>K167+L167-M167</f>
        <v>248585</v>
      </c>
      <c r="O167" s="87">
        <f>248585</f>
        <v>248585</v>
      </c>
      <c r="P167" s="87">
        <v>0</v>
      </c>
      <c r="Q167" s="87">
        <v>0</v>
      </c>
      <c r="R167" s="86">
        <f>N167-O167+P167+Q167</f>
        <v>0</v>
      </c>
      <c r="S167" s="87">
        <v>0</v>
      </c>
      <c r="T167" s="88">
        <v>0</v>
      </c>
      <c r="U167" s="87">
        <v>0</v>
      </c>
      <c r="V167" s="88">
        <v>0</v>
      </c>
      <c r="W167" s="87">
        <v>0</v>
      </c>
      <c r="X167" s="89">
        <v>0</v>
      </c>
      <c r="Y167" s="65"/>
    </row>
    <row r="168" spans="1:25" s="90" customFormat="1" ht="39" customHeight="1" x14ac:dyDescent="0.2">
      <c r="A168" s="123" t="s">
        <v>130</v>
      </c>
      <c r="B168" s="78" t="s">
        <v>131</v>
      </c>
      <c r="C168" s="79" t="s">
        <v>51</v>
      </c>
      <c r="D168" s="80" t="s">
        <v>161</v>
      </c>
      <c r="E168" s="81" t="s">
        <v>49</v>
      </c>
      <c r="F168" s="82" t="s">
        <v>162</v>
      </c>
      <c r="G168" s="83">
        <v>1</v>
      </c>
      <c r="H168" s="131" t="s">
        <v>143</v>
      </c>
      <c r="I168" s="133" t="s">
        <v>144</v>
      </c>
      <c r="J168" s="85">
        <v>3</v>
      </c>
      <c r="K168" s="86">
        <v>0</v>
      </c>
      <c r="L168" s="87">
        <f>922356+120000</f>
        <v>1042356</v>
      </c>
      <c r="M168" s="87">
        <v>0</v>
      </c>
      <c r="N168" s="86">
        <f t="shared" ref="N168:N169" si="92">K168+L168-M168</f>
        <v>1042356</v>
      </c>
      <c r="O168" s="87">
        <f>844095.25-183512-456228.17</f>
        <v>204355.08000000002</v>
      </c>
      <c r="P168" s="87">
        <v>0</v>
      </c>
      <c r="Q168" s="87">
        <v>0</v>
      </c>
      <c r="R168" s="86">
        <f t="shared" ref="R168:R169" si="93">N168-O168+P168+Q168</f>
        <v>838000.91999999993</v>
      </c>
      <c r="S168" s="87">
        <f>42000+36260.75+183311.2+83551.17</f>
        <v>345123.12</v>
      </c>
      <c r="T168" s="88">
        <f t="shared" si="89"/>
        <v>0.41184097984045176</v>
      </c>
      <c r="U168" s="87">
        <f>41343.78+36260.75+183311.2</f>
        <v>260915.73</v>
      </c>
      <c r="V168" s="88">
        <f t="shared" si="90"/>
        <v>0.3113549445745239</v>
      </c>
      <c r="W168" s="87">
        <f>2184.24+39159.54+36260.75+183311.2</f>
        <v>260915.73</v>
      </c>
      <c r="X168" s="89">
        <f t="shared" si="91"/>
        <v>0.3113549445745239</v>
      </c>
      <c r="Y168" s="65"/>
    </row>
    <row r="169" spans="1:25" s="90" customFormat="1" ht="39" customHeight="1" x14ac:dyDescent="0.2">
      <c r="A169" s="123" t="s">
        <v>130</v>
      </c>
      <c r="B169" s="78" t="s">
        <v>131</v>
      </c>
      <c r="C169" s="79" t="s">
        <v>51</v>
      </c>
      <c r="D169" s="80" t="s">
        <v>161</v>
      </c>
      <c r="E169" s="81" t="s">
        <v>49</v>
      </c>
      <c r="F169" s="82" t="s">
        <v>162</v>
      </c>
      <c r="G169" s="83">
        <v>1</v>
      </c>
      <c r="H169" s="131" t="s">
        <v>143</v>
      </c>
      <c r="I169" s="133" t="s">
        <v>144</v>
      </c>
      <c r="J169" s="85">
        <v>4</v>
      </c>
      <c r="K169" s="86">
        <v>0</v>
      </c>
      <c r="L169" s="87">
        <f>441800</f>
        <v>441800</v>
      </c>
      <c r="M169" s="87">
        <f>180000</f>
        <v>180000</v>
      </c>
      <c r="N169" s="86">
        <f t="shared" si="92"/>
        <v>261800</v>
      </c>
      <c r="O169" s="87">
        <f>261800-194100</f>
        <v>67700</v>
      </c>
      <c r="P169" s="87">
        <v>0</v>
      </c>
      <c r="Q169" s="87">
        <v>0</v>
      </c>
      <c r="R169" s="86">
        <f t="shared" si="93"/>
        <v>194100</v>
      </c>
      <c r="S169" s="87">
        <f>194100</f>
        <v>194100</v>
      </c>
      <c r="T169" s="88">
        <f t="shared" si="89"/>
        <v>1</v>
      </c>
      <c r="U169" s="87">
        <v>0</v>
      </c>
      <c r="V169" s="88">
        <f t="shared" si="90"/>
        <v>0</v>
      </c>
      <c r="W169" s="87">
        <v>0</v>
      </c>
      <c r="X169" s="89">
        <f t="shared" si="91"/>
        <v>0</v>
      </c>
      <c r="Y169" s="65"/>
    </row>
    <row r="170" spans="1:25" s="65" customFormat="1" ht="9" customHeight="1" x14ac:dyDescent="0.2">
      <c r="A170" s="91"/>
      <c r="B170" s="92"/>
      <c r="C170" s="93"/>
      <c r="D170" s="94"/>
      <c r="E170" s="95"/>
      <c r="F170" s="96"/>
      <c r="G170" s="97"/>
      <c r="H170" s="93"/>
      <c r="I170" s="98"/>
      <c r="J170" s="99"/>
      <c r="K170" s="100"/>
      <c r="L170" s="101"/>
      <c r="M170" s="101"/>
      <c r="N170" s="100"/>
      <c r="O170" s="101"/>
      <c r="P170" s="101"/>
      <c r="Q170" s="101"/>
      <c r="R170" s="100"/>
      <c r="S170" s="101"/>
      <c r="T170" s="102"/>
      <c r="U170" s="101"/>
      <c r="V170" s="102"/>
      <c r="W170" s="101"/>
      <c r="X170" s="103"/>
    </row>
    <row r="171" spans="1:25" s="76" customFormat="1" ht="39" customHeight="1" x14ac:dyDescent="0.2">
      <c r="A171" s="130" t="s">
        <v>130</v>
      </c>
      <c r="B171" s="105" t="s">
        <v>138</v>
      </c>
      <c r="C171" s="106"/>
      <c r="D171" s="107" t="s">
        <v>165</v>
      </c>
      <c r="E171" s="108" t="s">
        <v>49</v>
      </c>
      <c r="F171" s="105" t="s">
        <v>166</v>
      </c>
      <c r="G171" s="109"/>
      <c r="H171" s="109"/>
      <c r="I171" s="109"/>
      <c r="J171" s="106"/>
      <c r="K171" s="110">
        <f>SUM(K172:K176)</f>
        <v>1563830</v>
      </c>
      <c r="L171" s="110">
        <f t="shared" ref="L171:S171" si="94">SUM(L172:L176)</f>
        <v>806175</v>
      </c>
      <c r="M171" s="110">
        <f t="shared" si="94"/>
        <v>150000</v>
      </c>
      <c r="N171" s="110">
        <f t="shared" si="94"/>
        <v>2220005</v>
      </c>
      <c r="O171" s="110">
        <f t="shared" si="94"/>
        <v>593175</v>
      </c>
      <c r="P171" s="110">
        <f t="shared" si="94"/>
        <v>0</v>
      </c>
      <c r="Q171" s="110">
        <f t="shared" si="94"/>
        <v>0</v>
      </c>
      <c r="R171" s="110">
        <f t="shared" si="94"/>
        <v>1626830</v>
      </c>
      <c r="S171" s="110">
        <f t="shared" si="94"/>
        <v>515992.10000000003</v>
      </c>
      <c r="T171" s="111">
        <f>S171/R171</f>
        <v>0.31717641056533258</v>
      </c>
      <c r="U171" s="110">
        <f>SUM(U172:U176)</f>
        <v>346974.75000000006</v>
      </c>
      <c r="V171" s="111">
        <f>U171/R171</f>
        <v>0.21328273390581687</v>
      </c>
      <c r="W171" s="110">
        <f>SUM(W172:W176)</f>
        <v>346974.75000000006</v>
      </c>
      <c r="X171" s="112">
        <f>W171/R171</f>
        <v>0.21328273390581687</v>
      </c>
      <c r="Y171" s="75"/>
    </row>
    <row r="172" spans="1:25" s="90" customFormat="1" ht="39" customHeight="1" x14ac:dyDescent="0.2">
      <c r="A172" s="123" t="s">
        <v>130</v>
      </c>
      <c r="B172" s="78" t="s">
        <v>131</v>
      </c>
      <c r="C172" s="79" t="s">
        <v>51</v>
      </c>
      <c r="D172" s="80" t="s">
        <v>165</v>
      </c>
      <c r="E172" s="81" t="s">
        <v>49</v>
      </c>
      <c r="F172" s="82" t="s">
        <v>166</v>
      </c>
      <c r="G172" s="83">
        <v>1</v>
      </c>
      <c r="H172" s="79" t="s">
        <v>52</v>
      </c>
      <c r="I172" s="84" t="s">
        <v>53</v>
      </c>
      <c r="J172" s="79" t="s">
        <v>163</v>
      </c>
      <c r="K172" s="86">
        <v>600000</v>
      </c>
      <c r="L172" s="87">
        <v>0</v>
      </c>
      <c r="M172" s="87">
        <v>0</v>
      </c>
      <c r="N172" s="86">
        <f>K172+L172-M172</f>
        <v>600000</v>
      </c>
      <c r="O172" s="87">
        <f>377000</f>
        <v>377000</v>
      </c>
      <c r="P172" s="87">
        <v>0</v>
      </c>
      <c r="Q172" s="87">
        <v>0</v>
      </c>
      <c r="R172" s="86">
        <f>N172-O172+P172+Q172</f>
        <v>223000</v>
      </c>
      <c r="S172" s="87">
        <f>22576.89</f>
        <v>22576.89</v>
      </c>
      <c r="T172" s="88">
        <f>S172/R172</f>
        <v>0.10124165919282511</v>
      </c>
      <c r="U172" s="87">
        <f>22576.89</f>
        <v>22576.89</v>
      </c>
      <c r="V172" s="88">
        <f>U172/R172</f>
        <v>0.10124165919282511</v>
      </c>
      <c r="W172" s="87">
        <f>22576.89</f>
        <v>22576.89</v>
      </c>
      <c r="X172" s="89">
        <f>W172/R172</f>
        <v>0.10124165919282511</v>
      </c>
      <c r="Y172" s="65"/>
    </row>
    <row r="173" spans="1:25" s="90" customFormat="1" ht="39" customHeight="1" x14ac:dyDescent="0.2">
      <c r="A173" s="123" t="s">
        <v>130</v>
      </c>
      <c r="B173" s="78" t="s">
        <v>131</v>
      </c>
      <c r="C173" s="79" t="s">
        <v>51</v>
      </c>
      <c r="D173" s="80" t="s">
        <v>165</v>
      </c>
      <c r="E173" s="81" t="s">
        <v>49</v>
      </c>
      <c r="F173" s="82" t="s">
        <v>166</v>
      </c>
      <c r="G173" s="83">
        <v>1</v>
      </c>
      <c r="H173" s="79" t="s">
        <v>52</v>
      </c>
      <c r="I173" s="84" t="s">
        <v>53</v>
      </c>
      <c r="J173" s="79" t="s">
        <v>164</v>
      </c>
      <c r="K173" s="86">
        <v>10000</v>
      </c>
      <c r="L173" s="87">
        <v>0</v>
      </c>
      <c r="M173" s="87">
        <v>0</v>
      </c>
      <c r="N173" s="86">
        <f>K173+L173-M173</f>
        <v>10000</v>
      </c>
      <c r="O173" s="87">
        <f>10000</f>
        <v>10000</v>
      </c>
      <c r="P173" s="87">
        <v>0</v>
      </c>
      <c r="Q173" s="87">
        <v>0</v>
      </c>
      <c r="R173" s="86">
        <f>N173-O173+P173+Q173</f>
        <v>0</v>
      </c>
      <c r="S173" s="87">
        <v>0</v>
      </c>
      <c r="T173" s="88">
        <v>0</v>
      </c>
      <c r="U173" s="87">
        <v>0</v>
      </c>
      <c r="V173" s="88">
        <v>0</v>
      </c>
      <c r="W173" s="87">
        <v>0</v>
      </c>
      <c r="X173" s="89">
        <v>0</v>
      </c>
      <c r="Y173" s="65"/>
    </row>
    <row r="174" spans="1:25" s="90" customFormat="1" ht="39" customHeight="1" x14ac:dyDescent="0.2">
      <c r="A174" s="123" t="s">
        <v>130</v>
      </c>
      <c r="B174" s="78" t="s">
        <v>131</v>
      </c>
      <c r="C174" s="79" t="s">
        <v>51</v>
      </c>
      <c r="D174" s="80" t="s">
        <v>165</v>
      </c>
      <c r="E174" s="81" t="s">
        <v>49</v>
      </c>
      <c r="F174" s="82" t="s">
        <v>166</v>
      </c>
      <c r="G174" s="83">
        <v>1</v>
      </c>
      <c r="H174" s="79" t="s">
        <v>134</v>
      </c>
      <c r="I174" s="129" t="s">
        <v>167</v>
      </c>
      <c r="J174" s="85">
        <v>3</v>
      </c>
      <c r="K174" s="86">
        <v>953830</v>
      </c>
      <c r="L174" s="87">
        <f>400000</f>
        <v>400000</v>
      </c>
      <c r="M174" s="87">
        <v>0</v>
      </c>
      <c r="N174" s="86">
        <f>K174+L174-M174</f>
        <v>1353830</v>
      </c>
      <c r="O174" s="87">
        <v>0</v>
      </c>
      <c r="P174" s="87">
        <v>0</v>
      </c>
      <c r="Q174" s="87">
        <v>0</v>
      </c>
      <c r="R174" s="86">
        <f>N174-O174+P174+Q174</f>
        <v>1353830</v>
      </c>
      <c r="S174" s="87">
        <f>27910.4+25906.28+82693.1+24068.68+42810.34+13001.86+123503.7+39899.17+108813.72</f>
        <v>488607.25</v>
      </c>
      <c r="T174" s="88">
        <f>S174/R174</f>
        <v>0.36090738866770572</v>
      </c>
      <c r="U174" s="87">
        <f>6917.92+7510.1+76508.24+47150.66+42810.34+10972.42+43642.84+3067.82+85817.52</f>
        <v>324397.86000000004</v>
      </c>
      <c r="V174" s="88">
        <f>U174/R174</f>
        <v>0.23961491472341434</v>
      </c>
      <c r="W174" s="87">
        <f>6917.92+7510.1+50094.52+50353.24+66021.48+10972.42+43642.84+3067.82+85817.52</f>
        <v>324397.86000000004</v>
      </c>
      <c r="X174" s="89">
        <f>W174/R174</f>
        <v>0.23961491472341434</v>
      </c>
      <c r="Y174" s="65"/>
    </row>
    <row r="175" spans="1:25" s="90" customFormat="1" ht="39" customHeight="1" x14ac:dyDescent="0.2">
      <c r="A175" s="123" t="s">
        <v>130</v>
      </c>
      <c r="B175" s="78" t="s">
        <v>131</v>
      </c>
      <c r="C175" s="79" t="s">
        <v>51</v>
      </c>
      <c r="D175" s="80" t="s">
        <v>165</v>
      </c>
      <c r="E175" s="81" t="s">
        <v>49</v>
      </c>
      <c r="F175" s="82" t="s">
        <v>166</v>
      </c>
      <c r="G175" s="83">
        <v>1</v>
      </c>
      <c r="H175" s="79" t="s">
        <v>134</v>
      </c>
      <c r="I175" s="129" t="s">
        <v>167</v>
      </c>
      <c r="J175" s="85">
        <v>4</v>
      </c>
      <c r="K175" s="86">
        <v>0</v>
      </c>
      <c r="L175" s="87">
        <f>206175</f>
        <v>206175</v>
      </c>
      <c r="M175" s="87">
        <v>0</v>
      </c>
      <c r="N175" s="86">
        <f>K175+L175-M175</f>
        <v>206175</v>
      </c>
      <c r="O175" s="87">
        <f>206175</f>
        <v>206175</v>
      </c>
      <c r="P175" s="87">
        <v>0</v>
      </c>
      <c r="Q175" s="87">
        <v>0</v>
      </c>
      <c r="R175" s="86">
        <f>N175-O175+P175+Q175</f>
        <v>0</v>
      </c>
      <c r="S175" s="87">
        <v>0</v>
      </c>
      <c r="T175" s="88">
        <v>0</v>
      </c>
      <c r="U175" s="87">
        <v>0</v>
      </c>
      <c r="V175" s="88">
        <v>0</v>
      </c>
      <c r="W175" s="87">
        <v>0</v>
      </c>
      <c r="X175" s="89">
        <v>0</v>
      </c>
      <c r="Y175" s="65"/>
    </row>
    <row r="176" spans="1:25" s="90" customFormat="1" ht="39" customHeight="1" x14ac:dyDescent="0.2">
      <c r="A176" s="123" t="s">
        <v>130</v>
      </c>
      <c r="B176" s="78" t="s">
        <v>131</v>
      </c>
      <c r="C176" s="79" t="s">
        <v>51</v>
      </c>
      <c r="D176" s="80" t="s">
        <v>165</v>
      </c>
      <c r="E176" s="81" t="s">
        <v>49</v>
      </c>
      <c r="F176" s="82" t="s">
        <v>166</v>
      </c>
      <c r="G176" s="83">
        <v>1</v>
      </c>
      <c r="H176" s="131" t="s">
        <v>143</v>
      </c>
      <c r="I176" s="133" t="s">
        <v>144</v>
      </c>
      <c r="J176" s="85">
        <v>3</v>
      </c>
      <c r="K176" s="86">
        <v>0</v>
      </c>
      <c r="L176" s="87">
        <f>200000</f>
        <v>200000</v>
      </c>
      <c r="M176" s="87">
        <f>50000+100000</f>
        <v>150000</v>
      </c>
      <c r="N176" s="86">
        <f>K176+L176-M176</f>
        <v>50000</v>
      </c>
      <c r="O176" s="87">
        <f>150000-100000-50000</f>
        <v>0</v>
      </c>
      <c r="P176" s="87">
        <v>0</v>
      </c>
      <c r="Q176" s="87">
        <v>0</v>
      </c>
      <c r="R176" s="86">
        <f>N176-O176+P176+Q176</f>
        <v>50000</v>
      </c>
      <c r="S176" s="87">
        <f>4807.96</f>
        <v>4807.96</v>
      </c>
      <c r="T176" s="88">
        <f>S176/R176</f>
        <v>9.61592E-2</v>
      </c>
      <c r="U176" s="87">
        <v>0</v>
      </c>
      <c r="V176" s="88">
        <f>U176/R176</f>
        <v>0</v>
      </c>
      <c r="W176" s="87">
        <v>0</v>
      </c>
      <c r="X176" s="89">
        <f>W176/R176</f>
        <v>0</v>
      </c>
      <c r="Y176" s="65"/>
    </row>
    <row r="177" spans="1:25" s="65" customFormat="1" ht="9" customHeight="1" x14ac:dyDescent="0.2">
      <c r="A177" s="91"/>
      <c r="B177" s="92"/>
      <c r="C177" s="93"/>
      <c r="D177" s="94"/>
      <c r="E177" s="95"/>
      <c r="F177" s="96"/>
      <c r="G177" s="97"/>
      <c r="H177" s="93"/>
      <c r="I177" s="98"/>
      <c r="J177" s="99"/>
      <c r="K177" s="100"/>
      <c r="L177" s="101"/>
      <c r="M177" s="101"/>
      <c r="N177" s="100"/>
      <c r="O177" s="101"/>
      <c r="P177" s="101"/>
      <c r="Q177" s="101"/>
      <c r="R177" s="100"/>
      <c r="S177" s="101"/>
      <c r="T177" s="102"/>
      <c r="U177" s="101"/>
      <c r="V177" s="102"/>
      <c r="W177" s="101"/>
      <c r="X177" s="103"/>
    </row>
    <row r="178" spans="1:25" s="76" customFormat="1" ht="39" customHeight="1" x14ac:dyDescent="0.2">
      <c r="A178" s="130" t="s">
        <v>130</v>
      </c>
      <c r="B178" s="105" t="s">
        <v>138</v>
      </c>
      <c r="C178" s="106"/>
      <c r="D178" s="107" t="s">
        <v>168</v>
      </c>
      <c r="E178" s="108" t="s">
        <v>49</v>
      </c>
      <c r="F178" s="105" t="s">
        <v>169</v>
      </c>
      <c r="G178" s="109"/>
      <c r="H178" s="109"/>
      <c r="I178" s="109"/>
      <c r="J178" s="106"/>
      <c r="K178" s="110">
        <f>SUM(K179:K180)</f>
        <v>2161685</v>
      </c>
      <c r="L178" s="110">
        <f t="shared" ref="L178:S178" si="95">SUM(L179:L180)</f>
        <v>0</v>
      </c>
      <c r="M178" s="110">
        <f t="shared" si="95"/>
        <v>16000</v>
      </c>
      <c r="N178" s="110">
        <f t="shared" si="95"/>
        <v>2145685</v>
      </c>
      <c r="O178" s="110">
        <f t="shared" si="95"/>
        <v>10000</v>
      </c>
      <c r="P178" s="110">
        <f t="shared" si="95"/>
        <v>0</v>
      </c>
      <c r="Q178" s="110">
        <f t="shared" si="95"/>
        <v>0</v>
      </c>
      <c r="R178" s="110">
        <f t="shared" si="95"/>
        <v>2135685</v>
      </c>
      <c r="S178" s="110">
        <f t="shared" si="95"/>
        <v>1184355.17</v>
      </c>
      <c r="T178" s="111">
        <f>S178/R178</f>
        <v>0.55455517550575106</v>
      </c>
      <c r="U178" s="110">
        <f>SUM(U179:U180)</f>
        <v>991513.23000000021</v>
      </c>
      <c r="V178" s="111">
        <f>U178/R178</f>
        <v>0.46426005239536738</v>
      </c>
      <c r="W178" s="110">
        <f>SUM(W179:W180)</f>
        <v>991513.23</v>
      </c>
      <c r="X178" s="112">
        <f>W178/R178</f>
        <v>0.46426005239536727</v>
      </c>
      <c r="Y178" s="75"/>
    </row>
    <row r="179" spans="1:25" s="90" customFormat="1" ht="39" customHeight="1" x14ac:dyDescent="0.2">
      <c r="A179" s="123" t="s">
        <v>130</v>
      </c>
      <c r="B179" s="78" t="s">
        <v>131</v>
      </c>
      <c r="C179" s="79" t="s">
        <v>51</v>
      </c>
      <c r="D179" s="80" t="s">
        <v>168</v>
      </c>
      <c r="E179" s="81" t="s">
        <v>49</v>
      </c>
      <c r="F179" s="82" t="s">
        <v>170</v>
      </c>
      <c r="G179" s="83">
        <v>1</v>
      </c>
      <c r="H179" s="79" t="s">
        <v>52</v>
      </c>
      <c r="I179" s="84" t="s">
        <v>53</v>
      </c>
      <c r="J179" s="85">
        <v>4</v>
      </c>
      <c r="K179" s="86">
        <v>10000</v>
      </c>
      <c r="L179" s="87">
        <v>0</v>
      </c>
      <c r="M179" s="87">
        <v>0</v>
      </c>
      <c r="N179" s="86">
        <f>K179+L179-M179</f>
        <v>10000</v>
      </c>
      <c r="O179" s="87">
        <f>10000</f>
        <v>10000</v>
      </c>
      <c r="P179" s="87">
        <v>0</v>
      </c>
      <c r="Q179" s="87">
        <v>0</v>
      </c>
      <c r="R179" s="86">
        <f>N179-O179+P179+Q179</f>
        <v>0</v>
      </c>
      <c r="S179" s="87">
        <v>0</v>
      </c>
      <c r="T179" s="88">
        <v>0</v>
      </c>
      <c r="U179" s="87">
        <v>0</v>
      </c>
      <c r="V179" s="88">
        <v>0</v>
      </c>
      <c r="W179" s="87">
        <v>0</v>
      </c>
      <c r="X179" s="89">
        <v>0</v>
      </c>
      <c r="Y179" s="65"/>
    </row>
    <row r="180" spans="1:25" s="90" customFormat="1" ht="39" customHeight="1" x14ac:dyDescent="0.2">
      <c r="A180" s="123" t="s">
        <v>130</v>
      </c>
      <c r="B180" s="78" t="s">
        <v>131</v>
      </c>
      <c r="C180" s="79" t="s">
        <v>51</v>
      </c>
      <c r="D180" s="80" t="s">
        <v>168</v>
      </c>
      <c r="E180" s="81" t="s">
        <v>49</v>
      </c>
      <c r="F180" s="82" t="s">
        <v>170</v>
      </c>
      <c r="G180" s="83">
        <v>1</v>
      </c>
      <c r="H180" s="79" t="s">
        <v>134</v>
      </c>
      <c r="I180" s="129" t="s">
        <v>135</v>
      </c>
      <c r="J180" s="85">
        <v>3</v>
      </c>
      <c r="K180" s="86">
        <v>2151685</v>
      </c>
      <c r="L180" s="87">
        <v>0</v>
      </c>
      <c r="M180" s="87">
        <f>16000</f>
        <v>16000</v>
      </c>
      <c r="N180" s="86">
        <f>K180+L180-M180</f>
        <v>2135685</v>
      </c>
      <c r="O180" s="87">
        <v>0</v>
      </c>
      <c r="P180" s="87">
        <v>0</v>
      </c>
      <c r="Q180" s="87">
        <v>0</v>
      </c>
      <c r="R180" s="86">
        <f>N180-O180+P180+Q180</f>
        <v>2135685</v>
      </c>
      <c r="S180" s="87">
        <f>6939.9+109509.47+197300.87+163527.03+117381.75+91290.47+112053.89+74890.81+94319.8+217141.18</f>
        <v>1184355.17</v>
      </c>
      <c r="T180" s="88">
        <f t="shared" ref="T180" si="96">S180/R180</f>
        <v>0.55455517550575106</v>
      </c>
      <c r="U180" s="87">
        <f>4500+10549.72+98722.16+100304.63+102319.03+106255.77+138139.54+106343.82+15939.27+308439.29</f>
        <v>991513.23000000021</v>
      </c>
      <c r="V180" s="88">
        <f t="shared" ref="V180" si="97">U180/R180</f>
        <v>0.46426005239536738</v>
      </c>
      <c r="W180" s="87">
        <f>4500+10549.72+98722.16+100304.63+94840.25+113053.71+116260.24+59021.71+85821.52+308439.29</f>
        <v>991513.23</v>
      </c>
      <c r="X180" s="89">
        <f t="shared" ref="X180" si="98">W180/R180</f>
        <v>0.46426005239536727</v>
      </c>
      <c r="Y180" s="65"/>
    </row>
    <row r="181" spans="1:25" s="65" customFormat="1" ht="9" customHeight="1" x14ac:dyDescent="0.2">
      <c r="A181" s="134"/>
      <c r="B181" s="92"/>
      <c r="C181" s="93"/>
      <c r="D181" s="94"/>
      <c r="E181" s="95"/>
      <c r="F181" s="96"/>
      <c r="G181" s="97"/>
      <c r="H181" s="93"/>
      <c r="I181" s="98"/>
      <c r="J181" s="99"/>
      <c r="K181" s="101"/>
      <c r="L181" s="101"/>
      <c r="M181" s="101"/>
      <c r="N181" s="101"/>
      <c r="O181" s="101"/>
      <c r="P181" s="101"/>
      <c r="Q181" s="101"/>
      <c r="R181" s="101"/>
      <c r="S181" s="101"/>
      <c r="T181" s="102"/>
      <c r="U181" s="101"/>
      <c r="V181" s="102"/>
      <c r="W181" s="101"/>
      <c r="X181" s="103"/>
    </row>
    <row r="182" spans="1:25" s="76" customFormat="1" ht="39" customHeight="1" x14ac:dyDescent="0.2">
      <c r="A182" s="130" t="s">
        <v>130</v>
      </c>
      <c r="B182" s="105" t="s">
        <v>138</v>
      </c>
      <c r="C182" s="106"/>
      <c r="D182" s="107" t="s">
        <v>171</v>
      </c>
      <c r="E182" s="108" t="s">
        <v>49</v>
      </c>
      <c r="F182" s="105" t="s">
        <v>59</v>
      </c>
      <c r="G182" s="109"/>
      <c r="H182" s="109"/>
      <c r="I182" s="109"/>
      <c r="J182" s="106"/>
      <c r="K182" s="110">
        <f>SUM(K183:K186)</f>
        <v>8804150</v>
      </c>
      <c r="L182" s="110">
        <f t="shared" ref="L182:S182" si="99">SUM(L183:L186)</f>
        <v>846105.56</v>
      </c>
      <c r="M182" s="110">
        <f t="shared" si="99"/>
        <v>360000</v>
      </c>
      <c r="N182" s="110">
        <f t="shared" si="99"/>
        <v>9290255.5600000005</v>
      </c>
      <c r="O182" s="110">
        <f t="shared" si="99"/>
        <v>895105.56</v>
      </c>
      <c r="P182" s="110">
        <f t="shared" si="99"/>
        <v>0</v>
      </c>
      <c r="Q182" s="110">
        <f t="shared" si="99"/>
        <v>-731001.38</v>
      </c>
      <c r="R182" s="110">
        <f t="shared" si="99"/>
        <v>7664148.6200000001</v>
      </c>
      <c r="S182" s="110">
        <f t="shared" si="99"/>
        <v>5506706.2400000002</v>
      </c>
      <c r="T182" s="111">
        <f>S182/R182</f>
        <v>0.71850201673150749</v>
      </c>
      <c r="U182" s="110">
        <f>SUM(U183:U186)</f>
        <v>5455915.2400000002</v>
      </c>
      <c r="V182" s="111">
        <f>U182/R182</f>
        <v>0.71187492708094169</v>
      </c>
      <c r="W182" s="110">
        <f>SUM(W183:W186)</f>
        <v>5377096.6300000008</v>
      </c>
      <c r="X182" s="112">
        <f>W182/R182</f>
        <v>0.70159086111250291</v>
      </c>
      <c r="Y182" s="75"/>
    </row>
    <row r="183" spans="1:25" s="90" customFormat="1" ht="39" customHeight="1" x14ac:dyDescent="0.2">
      <c r="A183" s="123" t="s">
        <v>130</v>
      </c>
      <c r="B183" s="78" t="s">
        <v>131</v>
      </c>
      <c r="C183" s="79" t="s">
        <v>51</v>
      </c>
      <c r="D183" s="80" t="s">
        <v>171</v>
      </c>
      <c r="E183" s="81" t="s">
        <v>49</v>
      </c>
      <c r="F183" s="82" t="s">
        <v>172</v>
      </c>
      <c r="G183" s="83">
        <v>1</v>
      </c>
      <c r="H183" s="79" t="s">
        <v>52</v>
      </c>
      <c r="I183" s="84" t="s">
        <v>53</v>
      </c>
      <c r="J183" s="85">
        <v>4</v>
      </c>
      <c r="K183" s="86">
        <v>270000</v>
      </c>
      <c r="L183" s="87">
        <v>0</v>
      </c>
      <c r="M183" s="87">
        <v>0</v>
      </c>
      <c r="N183" s="86">
        <f>K183+L183-M183</f>
        <v>270000</v>
      </c>
      <c r="O183" s="87">
        <f>269000</f>
        <v>269000</v>
      </c>
      <c r="P183" s="87">
        <v>0</v>
      </c>
      <c r="Q183" s="87">
        <v>0</v>
      </c>
      <c r="R183" s="86">
        <f>N183-O183+P183+Q183</f>
        <v>1000</v>
      </c>
      <c r="S183" s="87">
        <f>979.2</f>
        <v>979.2</v>
      </c>
      <c r="T183" s="88">
        <f>S183/R183</f>
        <v>0.97920000000000007</v>
      </c>
      <c r="U183" s="87">
        <f>979.2</f>
        <v>979.2</v>
      </c>
      <c r="V183" s="88">
        <f>U183/R183</f>
        <v>0.97920000000000007</v>
      </c>
      <c r="W183" s="87">
        <f>979.2</f>
        <v>979.2</v>
      </c>
      <c r="X183" s="89">
        <f>W183/R183</f>
        <v>0.97920000000000007</v>
      </c>
      <c r="Y183" s="65"/>
    </row>
    <row r="184" spans="1:25" s="90" customFormat="1" ht="39" customHeight="1" x14ac:dyDescent="0.2">
      <c r="A184" s="123" t="s">
        <v>130</v>
      </c>
      <c r="B184" s="78" t="s">
        <v>131</v>
      </c>
      <c r="C184" s="79" t="s">
        <v>51</v>
      </c>
      <c r="D184" s="80" t="s">
        <v>173</v>
      </c>
      <c r="E184" s="81" t="s">
        <v>174</v>
      </c>
      <c r="F184" s="82" t="s">
        <v>172</v>
      </c>
      <c r="G184" s="83">
        <v>1</v>
      </c>
      <c r="H184" s="79" t="s">
        <v>134</v>
      </c>
      <c r="I184" s="129" t="s">
        <v>135</v>
      </c>
      <c r="J184" s="85">
        <v>3</v>
      </c>
      <c r="K184" s="86">
        <v>8534150</v>
      </c>
      <c r="L184" s="87">
        <v>0</v>
      </c>
      <c r="M184" s="87">
        <f>190000</f>
        <v>190000</v>
      </c>
      <c r="N184" s="86">
        <f>K184+L184-M184</f>
        <v>8344150</v>
      </c>
      <c r="O184" s="87">
        <v>0</v>
      </c>
      <c r="P184" s="87">
        <v>0</v>
      </c>
      <c r="Q184" s="87">
        <f>-66884.13-66884.13-133624.54-66884.13-66884.13-66884.13-66884.13-65000.07-66071.92-65000.07</f>
        <v>-731001.38</v>
      </c>
      <c r="R184" s="86">
        <f>N184-O184+P184+Q184</f>
        <v>7613148.6200000001</v>
      </c>
      <c r="S184" s="87">
        <f>81910.17+599255.76+638211.06+667361.34+426554.27+271404.23+330416.34+171948.78+1518839.63+799825.46</f>
        <v>5505727.04</v>
      </c>
      <c r="T184" s="88">
        <f>S184/R184</f>
        <v>0.72318659661211238</v>
      </c>
      <c r="U184" s="87">
        <f>66158.64+518512.19+706948.81+35332.54+644578.12+534726.91+500238.45+160453.35+1495943.31+792043.72</f>
        <v>5454936.04</v>
      </c>
      <c r="V184" s="88">
        <f>U184/R184</f>
        <v>0.71651511250807554</v>
      </c>
      <c r="W184" s="87">
        <f>25246.89+240896.34+992011.41+68797.54+644577.52+200876.05+834089.91+160453.35+1162091.89+1047076.53</f>
        <v>5376117.4300000006</v>
      </c>
      <c r="X184" s="89">
        <f>W184/R184</f>
        <v>0.70616215423363171</v>
      </c>
      <c r="Y184" s="65"/>
    </row>
    <row r="185" spans="1:25" s="90" customFormat="1" ht="39" customHeight="1" x14ac:dyDescent="0.2">
      <c r="A185" s="123" t="s">
        <v>130</v>
      </c>
      <c r="B185" s="78" t="s">
        <v>131</v>
      </c>
      <c r="C185" s="79" t="s">
        <v>51</v>
      </c>
      <c r="D185" s="80" t="s">
        <v>173</v>
      </c>
      <c r="E185" s="81" t="s">
        <v>174</v>
      </c>
      <c r="F185" s="82" t="s">
        <v>172</v>
      </c>
      <c r="G185" s="83">
        <v>1</v>
      </c>
      <c r="H185" s="131" t="s">
        <v>143</v>
      </c>
      <c r="I185" s="133" t="s">
        <v>144</v>
      </c>
      <c r="J185" s="85">
        <v>3</v>
      </c>
      <c r="K185" s="86">
        <v>0</v>
      </c>
      <c r="L185" s="87">
        <f>513100.84+50000</f>
        <v>563100.84000000008</v>
      </c>
      <c r="M185" s="87">
        <v>0</v>
      </c>
      <c r="N185" s="86">
        <f t="shared" ref="N185:N186" si="100">K185+L185-M185</f>
        <v>563100.84000000008</v>
      </c>
      <c r="O185" s="87">
        <f>513100.84</f>
        <v>513100.84</v>
      </c>
      <c r="P185" s="87">
        <v>0</v>
      </c>
      <c r="Q185" s="87">
        <v>0</v>
      </c>
      <c r="R185" s="86">
        <f t="shared" ref="R185:R186" si="101">N185-O185+P185+Q185</f>
        <v>50000.000000000058</v>
      </c>
      <c r="S185" s="87">
        <v>0</v>
      </c>
      <c r="T185" s="88">
        <v>0</v>
      </c>
      <c r="U185" s="87">
        <v>0</v>
      </c>
      <c r="V185" s="88">
        <v>0</v>
      </c>
      <c r="W185" s="87">
        <v>0</v>
      </c>
      <c r="X185" s="89">
        <v>0</v>
      </c>
      <c r="Y185" s="65"/>
    </row>
    <row r="186" spans="1:25" s="90" customFormat="1" ht="39" customHeight="1" x14ac:dyDescent="0.2">
      <c r="A186" s="123" t="s">
        <v>130</v>
      </c>
      <c r="B186" s="78" t="s">
        <v>131</v>
      </c>
      <c r="C186" s="79" t="s">
        <v>51</v>
      </c>
      <c r="D186" s="80" t="s">
        <v>173</v>
      </c>
      <c r="E186" s="81" t="s">
        <v>174</v>
      </c>
      <c r="F186" s="82" t="s">
        <v>172</v>
      </c>
      <c r="G186" s="83">
        <v>1</v>
      </c>
      <c r="H186" s="131" t="s">
        <v>143</v>
      </c>
      <c r="I186" s="133" t="s">
        <v>144</v>
      </c>
      <c r="J186" s="85">
        <v>4</v>
      </c>
      <c r="K186" s="86">
        <v>0</v>
      </c>
      <c r="L186" s="87">
        <f>103004.72+180000</f>
        <v>283004.71999999997</v>
      </c>
      <c r="M186" s="87">
        <f>170000</f>
        <v>170000</v>
      </c>
      <c r="N186" s="86">
        <f t="shared" si="100"/>
        <v>113004.71999999997</v>
      </c>
      <c r="O186" s="87">
        <f>283004.72-170000</f>
        <v>113004.71999999997</v>
      </c>
      <c r="P186" s="87">
        <v>0</v>
      </c>
      <c r="Q186" s="87">
        <v>0</v>
      </c>
      <c r="R186" s="86">
        <f t="shared" si="101"/>
        <v>0</v>
      </c>
      <c r="S186" s="87">
        <v>0</v>
      </c>
      <c r="T186" s="88">
        <v>0</v>
      </c>
      <c r="U186" s="87">
        <v>0</v>
      </c>
      <c r="V186" s="88">
        <v>0</v>
      </c>
      <c r="W186" s="87">
        <v>0</v>
      </c>
      <c r="X186" s="89">
        <v>0</v>
      </c>
      <c r="Y186" s="65"/>
    </row>
    <row r="187" spans="1:25" s="65" customFormat="1" ht="9" customHeight="1" x14ac:dyDescent="0.2">
      <c r="A187" s="91"/>
      <c r="B187" s="92"/>
      <c r="C187" s="93"/>
      <c r="D187" s="94"/>
      <c r="E187" s="95"/>
      <c r="F187" s="96"/>
      <c r="G187" s="97"/>
      <c r="H187" s="93"/>
      <c r="I187" s="98"/>
      <c r="J187" s="99"/>
      <c r="K187" s="100"/>
      <c r="L187" s="101"/>
      <c r="M187" s="101"/>
      <c r="N187" s="100"/>
      <c r="O187" s="101"/>
      <c r="P187" s="101"/>
      <c r="Q187" s="101"/>
      <c r="R187" s="100"/>
      <c r="S187" s="101"/>
      <c r="T187" s="102"/>
      <c r="U187" s="101"/>
      <c r="V187" s="102"/>
      <c r="W187" s="101"/>
      <c r="X187" s="103"/>
    </row>
    <row r="188" spans="1:25" s="76" customFormat="1" ht="39" customHeight="1" x14ac:dyDescent="0.2">
      <c r="A188" s="130" t="s">
        <v>130</v>
      </c>
      <c r="B188" s="105" t="s">
        <v>138</v>
      </c>
      <c r="C188" s="106"/>
      <c r="D188" s="107" t="s">
        <v>175</v>
      </c>
      <c r="E188" s="108" t="s">
        <v>49</v>
      </c>
      <c r="F188" s="105" t="s">
        <v>176</v>
      </c>
      <c r="G188" s="109"/>
      <c r="H188" s="109"/>
      <c r="I188" s="109"/>
      <c r="J188" s="106"/>
      <c r="K188" s="110">
        <f>SUM(K189:K190)</f>
        <v>195975</v>
      </c>
      <c r="L188" s="110">
        <f t="shared" ref="L188:S188" si="102">SUM(L189:L190)</f>
        <v>0</v>
      </c>
      <c r="M188" s="110">
        <f t="shared" si="102"/>
        <v>0</v>
      </c>
      <c r="N188" s="110">
        <f t="shared" si="102"/>
        <v>195975</v>
      </c>
      <c r="O188" s="110">
        <f t="shared" si="102"/>
        <v>79000</v>
      </c>
      <c r="P188" s="110">
        <f t="shared" si="102"/>
        <v>0</v>
      </c>
      <c r="Q188" s="110">
        <f t="shared" si="102"/>
        <v>0</v>
      </c>
      <c r="R188" s="110">
        <f t="shared" si="102"/>
        <v>116975</v>
      </c>
      <c r="S188" s="110">
        <f t="shared" si="102"/>
        <v>11564.810000000001</v>
      </c>
      <c r="T188" s="111">
        <f>S188/R188</f>
        <v>9.8865655054498833E-2</v>
      </c>
      <c r="U188" s="110">
        <f>SUM(U189:U190)</f>
        <v>8023.0999999999995</v>
      </c>
      <c r="V188" s="111">
        <f>U188/R188</f>
        <v>6.8588159863218631E-2</v>
      </c>
      <c r="W188" s="110">
        <f>SUM(W189:W190)</f>
        <v>8023.0999999999995</v>
      </c>
      <c r="X188" s="112">
        <f>W188/R188</f>
        <v>6.8588159863218631E-2</v>
      </c>
      <c r="Y188" s="75"/>
    </row>
    <row r="189" spans="1:25" s="90" customFormat="1" ht="39" customHeight="1" x14ac:dyDescent="0.2">
      <c r="A189" s="123" t="s">
        <v>130</v>
      </c>
      <c r="B189" s="78" t="s">
        <v>131</v>
      </c>
      <c r="C189" s="79" t="s">
        <v>51</v>
      </c>
      <c r="D189" s="80" t="s">
        <v>175</v>
      </c>
      <c r="E189" s="81" t="s">
        <v>49</v>
      </c>
      <c r="F189" s="82" t="s">
        <v>177</v>
      </c>
      <c r="G189" s="83">
        <v>1</v>
      </c>
      <c r="H189" s="79" t="s">
        <v>52</v>
      </c>
      <c r="I189" s="84" t="s">
        <v>53</v>
      </c>
      <c r="J189" s="85">
        <v>4</v>
      </c>
      <c r="K189" s="86">
        <v>80000</v>
      </c>
      <c r="L189" s="87">
        <v>0</v>
      </c>
      <c r="M189" s="87">
        <v>0</v>
      </c>
      <c r="N189" s="86">
        <f>K189+L189-M189</f>
        <v>80000</v>
      </c>
      <c r="O189" s="87">
        <f>79000</f>
        <v>79000</v>
      </c>
      <c r="P189" s="87">
        <v>0</v>
      </c>
      <c r="Q189" s="87">
        <v>0</v>
      </c>
      <c r="R189" s="86">
        <f>N189-O189+P189+Q189</f>
        <v>1000</v>
      </c>
      <c r="S189" s="87">
        <f>979.2</f>
        <v>979.2</v>
      </c>
      <c r="T189" s="88">
        <f>S189/R189</f>
        <v>0.97920000000000007</v>
      </c>
      <c r="U189" s="87">
        <f>979.2</f>
        <v>979.2</v>
      </c>
      <c r="V189" s="88">
        <f>U189/R189</f>
        <v>0.97920000000000007</v>
      </c>
      <c r="W189" s="87">
        <f>979.2</f>
        <v>979.2</v>
      </c>
      <c r="X189" s="89">
        <f>W189/R189</f>
        <v>0.97920000000000007</v>
      </c>
      <c r="Y189" s="65"/>
    </row>
    <row r="190" spans="1:25" s="90" customFormat="1" ht="39" customHeight="1" x14ac:dyDescent="0.2">
      <c r="A190" s="123" t="s">
        <v>130</v>
      </c>
      <c r="B190" s="78" t="s">
        <v>131</v>
      </c>
      <c r="C190" s="79" t="s">
        <v>51</v>
      </c>
      <c r="D190" s="80" t="s">
        <v>175</v>
      </c>
      <c r="E190" s="81" t="s">
        <v>49</v>
      </c>
      <c r="F190" s="82" t="s">
        <v>178</v>
      </c>
      <c r="G190" s="83">
        <v>1</v>
      </c>
      <c r="H190" s="79" t="s">
        <v>134</v>
      </c>
      <c r="I190" s="129" t="s">
        <v>135</v>
      </c>
      <c r="J190" s="85">
        <v>3</v>
      </c>
      <c r="K190" s="86">
        <v>115975</v>
      </c>
      <c r="L190" s="87">
        <v>0</v>
      </c>
      <c r="M190" s="87">
        <v>0</v>
      </c>
      <c r="N190" s="86">
        <f>K190+L190-M190</f>
        <v>115975</v>
      </c>
      <c r="O190" s="87">
        <v>0</v>
      </c>
      <c r="P190" s="87">
        <v>0</v>
      </c>
      <c r="Q190" s="87">
        <v>0</v>
      </c>
      <c r="R190" s="86">
        <f>N190-O190+P190+Q190</f>
        <v>115975</v>
      </c>
      <c r="S190" s="87">
        <f>2922.51+1538+2814.6+3310.5</f>
        <v>10585.61</v>
      </c>
      <c r="T190" s="88">
        <f>S190/R190</f>
        <v>9.1274929941797811E-2</v>
      </c>
      <c r="U190" s="87">
        <f>1538+2691.3+2814.6</f>
        <v>7043.9</v>
      </c>
      <c r="V190" s="88">
        <f>U190/R190</f>
        <v>6.0736365596033626E-2</v>
      </c>
      <c r="W190" s="87">
        <f>4229.3+2814.6</f>
        <v>7043.9</v>
      </c>
      <c r="X190" s="89">
        <f>W190/R190</f>
        <v>6.0736365596033626E-2</v>
      </c>
      <c r="Y190" s="65"/>
    </row>
    <row r="191" spans="1:25" s="65" customFormat="1" ht="9" customHeight="1" x14ac:dyDescent="0.2">
      <c r="A191" s="91"/>
      <c r="B191" s="92"/>
      <c r="C191" s="93"/>
      <c r="D191" s="94"/>
      <c r="E191" s="95"/>
      <c r="F191" s="96"/>
      <c r="G191" s="97"/>
      <c r="H191" s="93"/>
      <c r="I191" s="98"/>
      <c r="J191" s="99"/>
      <c r="K191" s="100"/>
      <c r="L191" s="101"/>
      <c r="M191" s="101"/>
      <c r="N191" s="100"/>
      <c r="O191" s="101"/>
      <c r="P191" s="101"/>
      <c r="Q191" s="101"/>
      <c r="R191" s="100"/>
      <c r="S191" s="101"/>
      <c r="T191" s="102"/>
      <c r="U191" s="101"/>
      <c r="V191" s="102"/>
      <c r="W191" s="101"/>
      <c r="X191" s="103"/>
    </row>
    <row r="192" spans="1:25" s="76" customFormat="1" ht="39" customHeight="1" x14ac:dyDescent="0.2">
      <c r="A192" s="130" t="s">
        <v>130</v>
      </c>
      <c r="B192" s="105" t="s">
        <v>138</v>
      </c>
      <c r="C192" s="106"/>
      <c r="D192" s="107" t="s">
        <v>179</v>
      </c>
      <c r="E192" s="108" t="s">
        <v>49</v>
      </c>
      <c r="F192" s="105" t="s">
        <v>64</v>
      </c>
      <c r="G192" s="109"/>
      <c r="H192" s="109"/>
      <c r="I192" s="109"/>
      <c r="J192" s="106"/>
      <c r="K192" s="110">
        <f>SUM(K193:K196)</f>
        <v>1352265</v>
      </c>
      <c r="L192" s="110">
        <f t="shared" ref="L192:S192" si="103">SUM(L193:L196)</f>
        <v>329418.85000000003</v>
      </c>
      <c r="M192" s="110">
        <f t="shared" si="103"/>
        <v>800000</v>
      </c>
      <c r="N192" s="110">
        <f t="shared" si="103"/>
        <v>881683.85</v>
      </c>
      <c r="O192" s="110">
        <f t="shared" si="103"/>
        <v>164418.85</v>
      </c>
      <c r="P192" s="110">
        <f t="shared" si="103"/>
        <v>0</v>
      </c>
      <c r="Q192" s="110">
        <f t="shared" si="103"/>
        <v>-426533.78</v>
      </c>
      <c r="R192" s="110">
        <f t="shared" si="103"/>
        <v>290731.21999999997</v>
      </c>
      <c r="S192" s="110">
        <f t="shared" si="103"/>
        <v>20836.350000000002</v>
      </c>
      <c r="T192" s="111">
        <f>S192/R192</f>
        <v>7.1668773652860548E-2</v>
      </c>
      <c r="U192" s="110">
        <f>SUM(U193:U196)</f>
        <v>19559.91</v>
      </c>
      <c r="V192" s="111">
        <f>U192/R192</f>
        <v>6.727832669638989E-2</v>
      </c>
      <c r="W192" s="110">
        <f>SUM(W193:W196)</f>
        <v>19559.91</v>
      </c>
      <c r="X192" s="112">
        <f>W192/R192</f>
        <v>6.727832669638989E-2</v>
      </c>
      <c r="Y192" s="75"/>
    </row>
    <row r="193" spans="1:25" s="90" customFormat="1" ht="39" customHeight="1" x14ac:dyDescent="0.2">
      <c r="A193" s="123" t="s">
        <v>130</v>
      </c>
      <c r="B193" s="78" t="s">
        <v>131</v>
      </c>
      <c r="C193" s="79" t="s">
        <v>51</v>
      </c>
      <c r="D193" s="80" t="s">
        <v>179</v>
      </c>
      <c r="E193" s="81" t="s">
        <v>49</v>
      </c>
      <c r="F193" s="82" t="s">
        <v>180</v>
      </c>
      <c r="G193" s="83">
        <v>1</v>
      </c>
      <c r="H193" s="79" t="s">
        <v>52</v>
      </c>
      <c r="I193" s="84" t="s">
        <v>53</v>
      </c>
      <c r="J193" s="85">
        <v>4</v>
      </c>
      <c r="K193" s="86">
        <v>25000</v>
      </c>
      <c r="L193" s="87">
        <v>0</v>
      </c>
      <c r="M193" s="87">
        <v>0</v>
      </c>
      <c r="N193" s="86">
        <f>K193+L193-M193</f>
        <v>25000</v>
      </c>
      <c r="O193" s="87">
        <f>25000</f>
        <v>25000</v>
      </c>
      <c r="P193" s="87">
        <v>0</v>
      </c>
      <c r="Q193" s="87">
        <v>0</v>
      </c>
      <c r="R193" s="86">
        <f>N193-O193+P193+Q193</f>
        <v>0</v>
      </c>
      <c r="S193" s="87">
        <v>0</v>
      </c>
      <c r="T193" s="88">
        <v>0</v>
      </c>
      <c r="U193" s="87">
        <v>0</v>
      </c>
      <c r="V193" s="88">
        <v>0</v>
      </c>
      <c r="W193" s="87">
        <v>0</v>
      </c>
      <c r="X193" s="89">
        <v>0</v>
      </c>
      <c r="Y193" s="65"/>
    </row>
    <row r="194" spans="1:25" s="90" customFormat="1" ht="39" customHeight="1" x14ac:dyDescent="0.2">
      <c r="A194" s="123" t="s">
        <v>130</v>
      </c>
      <c r="B194" s="78" t="s">
        <v>131</v>
      </c>
      <c r="C194" s="79" t="s">
        <v>51</v>
      </c>
      <c r="D194" s="80" t="s">
        <v>179</v>
      </c>
      <c r="E194" s="81" t="s">
        <v>49</v>
      </c>
      <c r="F194" s="82" t="s">
        <v>180</v>
      </c>
      <c r="G194" s="83">
        <v>1</v>
      </c>
      <c r="H194" s="79" t="s">
        <v>134</v>
      </c>
      <c r="I194" s="129" t="s">
        <v>135</v>
      </c>
      <c r="J194" s="85">
        <v>3</v>
      </c>
      <c r="K194" s="86">
        <v>1327265</v>
      </c>
      <c r="L194" s="87">
        <f>190000</f>
        <v>190000</v>
      </c>
      <c r="M194" s="87">
        <f>800000</f>
        <v>800000</v>
      </c>
      <c r="N194" s="86">
        <f>K194+L194-M194</f>
        <v>717265</v>
      </c>
      <c r="O194" s="87">
        <v>0</v>
      </c>
      <c r="P194" s="87">
        <v>0</v>
      </c>
      <c r="Q194" s="87">
        <f>-38623.23-38623.23-76035.82-38623.23-38623.23-38623.23-38623.23-39565.26-39596.66-39596.66</f>
        <v>-426533.78</v>
      </c>
      <c r="R194" s="86">
        <f>N194-O194+P194+Q194</f>
        <v>290731.21999999997</v>
      </c>
      <c r="S194" s="87">
        <f>650+2100+12900.54+615.2+5198.31-627.7</f>
        <v>20836.350000000002</v>
      </c>
      <c r="T194" s="88">
        <f>S194/R194</f>
        <v>7.1668773652860548E-2</v>
      </c>
      <c r="U194" s="87">
        <f>650+2100+6660.11+615.2+1756.4+3890+2000+2700-811.8</f>
        <v>19559.91</v>
      </c>
      <c r="V194" s="88">
        <f>U194/R194</f>
        <v>6.727832669638989E-2</v>
      </c>
      <c r="W194" s="87">
        <f>2750+6660.11+2371.6+3890+500+4200-811.8</f>
        <v>19559.91</v>
      </c>
      <c r="X194" s="89">
        <f>W194/R194</f>
        <v>6.727832669638989E-2</v>
      </c>
      <c r="Y194" s="65"/>
    </row>
    <row r="195" spans="1:25" s="90" customFormat="1" ht="39" customHeight="1" x14ac:dyDescent="0.2">
      <c r="A195" s="123" t="s">
        <v>130</v>
      </c>
      <c r="B195" s="78" t="s">
        <v>131</v>
      </c>
      <c r="C195" s="79" t="s">
        <v>51</v>
      </c>
      <c r="D195" s="80" t="s">
        <v>179</v>
      </c>
      <c r="E195" s="81" t="s">
        <v>49</v>
      </c>
      <c r="F195" s="82" t="s">
        <v>180</v>
      </c>
      <c r="G195" s="83">
        <v>1</v>
      </c>
      <c r="H195" s="131" t="s">
        <v>143</v>
      </c>
      <c r="I195" s="133" t="s">
        <v>144</v>
      </c>
      <c r="J195" s="85">
        <v>3</v>
      </c>
      <c r="K195" s="86">
        <v>0</v>
      </c>
      <c r="L195" s="87">
        <f>138574.91</f>
        <v>138574.91</v>
      </c>
      <c r="M195" s="87">
        <v>0</v>
      </c>
      <c r="N195" s="86">
        <f t="shared" ref="N195:N196" si="104">K195+L195-M195</f>
        <v>138574.91</v>
      </c>
      <c r="O195" s="87">
        <f>138574.91</f>
        <v>138574.91</v>
      </c>
      <c r="P195" s="87">
        <v>0</v>
      </c>
      <c r="Q195" s="87">
        <v>0</v>
      </c>
      <c r="R195" s="86">
        <f t="shared" ref="R195:R196" si="105">N195-O195+P195+Q195</f>
        <v>0</v>
      </c>
      <c r="S195" s="87">
        <v>0</v>
      </c>
      <c r="T195" s="88">
        <v>0</v>
      </c>
      <c r="U195" s="87">
        <v>0</v>
      </c>
      <c r="V195" s="88">
        <v>0</v>
      </c>
      <c r="W195" s="87">
        <v>0</v>
      </c>
      <c r="X195" s="89">
        <v>0</v>
      </c>
      <c r="Y195" s="65"/>
    </row>
    <row r="196" spans="1:25" s="90" customFormat="1" ht="39" customHeight="1" x14ac:dyDescent="0.2">
      <c r="A196" s="123" t="s">
        <v>130</v>
      </c>
      <c r="B196" s="78" t="s">
        <v>131</v>
      </c>
      <c r="C196" s="79" t="s">
        <v>51</v>
      </c>
      <c r="D196" s="80" t="s">
        <v>179</v>
      </c>
      <c r="E196" s="81" t="s">
        <v>49</v>
      </c>
      <c r="F196" s="82" t="s">
        <v>180</v>
      </c>
      <c r="G196" s="83">
        <v>1</v>
      </c>
      <c r="H196" s="131" t="s">
        <v>143</v>
      </c>
      <c r="I196" s="133" t="s">
        <v>144</v>
      </c>
      <c r="J196" s="85">
        <v>4</v>
      </c>
      <c r="K196" s="86">
        <v>0</v>
      </c>
      <c r="L196" s="87">
        <f>843.94</f>
        <v>843.94</v>
      </c>
      <c r="M196" s="87">
        <v>0</v>
      </c>
      <c r="N196" s="86">
        <f t="shared" si="104"/>
        <v>843.94</v>
      </c>
      <c r="O196" s="87">
        <f>843.94</f>
        <v>843.94</v>
      </c>
      <c r="P196" s="87">
        <v>0</v>
      </c>
      <c r="Q196" s="87">
        <v>0</v>
      </c>
      <c r="R196" s="86">
        <f t="shared" si="105"/>
        <v>0</v>
      </c>
      <c r="S196" s="87">
        <v>0</v>
      </c>
      <c r="T196" s="88">
        <v>0</v>
      </c>
      <c r="U196" s="87">
        <v>0</v>
      </c>
      <c r="V196" s="88">
        <v>0</v>
      </c>
      <c r="W196" s="87">
        <v>0</v>
      </c>
      <c r="X196" s="89">
        <v>0</v>
      </c>
      <c r="Y196" s="65"/>
    </row>
    <row r="197" spans="1:25" s="65" customFormat="1" ht="9" customHeight="1" x14ac:dyDescent="0.2">
      <c r="A197" s="134"/>
      <c r="B197" s="92"/>
      <c r="C197" s="93"/>
      <c r="D197" s="94"/>
      <c r="E197" s="95"/>
      <c r="F197" s="96"/>
      <c r="G197" s="97"/>
      <c r="H197" s="93"/>
      <c r="I197" s="98"/>
      <c r="J197" s="99"/>
      <c r="K197" s="101"/>
      <c r="L197" s="101"/>
      <c r="M197" s="101"/>
      <c r="N197" s="101"/>
      <c r="O197" s="101"/>
      <c r="P197" s="101"/>
      <c r="Q197" s="101"/>
      <c r="R197" s="101"/>
      <c r="S197" s="101"/>
      <c r="T197" s="102"/>
      <c r="U197" s="101"/>
      <c r="V197" s="102"/>
      <c r="W197" s="101"/>
      <c r="X197" s="103"/>
    </row>
    <row r="198" spans="1:25" s="76" customFormat="1" ht="39" customHeight="1" x14ac:dyDescent="0.2">
      <c r="A198" s="130" t="s">
        <v>130</v>
      </c>
      <c r="B198" s="105" t="s">
        <v>138</v>
      </c>
      <c r="C198" s="106"/>
      <c r="D198" s="107" t="s">
        <v>181</v>
      </c>
      <c r="E198" s="108" t="s">
        <v>49</v>
      </c>
      <c r="F198" s="105" t="s">
        <v>182</v>
      </c>
      <c r="G198" s="109"/>
      <c r="H198" s="109"/>
      <c r="I198" s="109"/>
      <c r="J198" s="106"/>
      <c r="K198" s="110">
        <f>SUM(K199:K203)</f>
        <v>700000</v>
      </c>
      <c r="L198" s="110">
        <f t="shared" ref="L198:S198" si="106">SUM(L199:L203)</f>
        <v>867103</v>
      </c>
      <c r="M198" s="110">
        <f t="shared" si="106"/>
        <v>275582</v>
      </c>
      <c r="N198" s="110">
        <f t="shared" si="106"/>
        <v>1291521</v>
      </c>
      <c r="O198" s="110">
        <f t="shared" si="106"/>
        <v>409363.20000000001</v>
      </c>
      <c r="P198" s="110">
        <f t="shared" si="106"/>
        <v>0</v>
      </c>
      <c r="Q198" s="110">
        <f t="shared" si="106"/>
        <v>0</v>
      </c>
      <c r="R198" s="110">
        <f t="shared" si="106"/>
        <v>882157.8</v>
      </c>
      <c r="S198" s="110">
        <f t="shared" si="106"/>
        <v>875715.51</v>
      </c>
      <c r="T198" s="111">
        <f t="shared" ref="T198:T203" si="107">S198/R198</f>
        <v>0.99269712289569956</v>
      </c>
      <c r="U198" s="110">
        <f>SUM(U199:U203)</f>
        <v>233679.2</v>
      </c>
      <c r="V198" s="111">
        <f>U198/R198</f>
        <v>0.26489501084726563</v>
      </c>
      <c r="W198" s="110">
        <f>SUM(W199:W203)</f>
        <v>233679.19999999998</v>
      </c>
      <c r="X198" s="112">
        <f>W198/R198</f>
        <v>0.26489501084726563</v>
      </c>
      <c r="Y198" s="75"/>
    </row>
    <row r="199" spans="1:25" s="90" customFormat="1" ht="39" customHeight="1" x14ac:dyDescent="0.2">
      <c r="A199" s="123" t="s">
        <v>130</v>
      </c>
      <c r="B199" s="78" t="s">
        <v>131</v>
      </c>
      <c r="C199" s="79" t="s">
        <v>51</v>
      </c>
      <c r="D199" s="80" t="s">
        <v>181</v>
      </c>
      <c r="E199" s="81" t="s">
        <v>49</v>
      </c>
      <c r="F199" s="82" t="s">
        <v>182</v>
      </c>
      <c r="G199" s="83">
        <v>1</v>
      </c>
      <c r="H199" s="79" t="s">
        <v>52</v>
      </c>
      <c r="I199" s="84" t="s">
        <v>53</v>
      </c>
      <c r="J199" s="85">
        <v>4</v>
      </c>
      <c r="K199" s="86">
        <v>300000</v>
      </c>
      <c r="L199" s="87">
        <v>0</v>
      </c>
      <c r="M199" s="87">
        <f>275582</f>
        <v>275582</v>
      </c>
      <c r="N199" s="86">
        <f t="shared" ref="N199:N216" si="108">K199+L199-M199</f>
        <v>24418</v>
      </c>
      <c r="O199" s="87">
        <f>284945.2-275582</f>
        <v>9363.2000000000116</v>
      </c>
      <c r="P199" s="87">
        <v>0</v>
      </c>
      <c r="Q199" s="87">
        <v>0</v>
      </c>
      <c r="R199" s="86">
        <f t="shared" ref="R199:R216" si="109">N199-O199+P199+Q199</f>
        <v>15054.799999999988</v>
      </c>
      <c r="S199" s="87">
        <f>15054.8</f>
        <v>15054.8</v>
      </c>
      <c r="T199" s="88">
        <f t="shared" si="107"/>
        <v>1.0000000000000007</v>
      </c>
      <c r="U199" s="87">
        <f>14704.8+350</f>
        <v>15054.8</v>
      </c>
      <c r="V199" s="88">
        <f>U199/R199</f>
        <v>1.0000000000000007</v>
      </c>
      <c r="W199" s="87">
        <f>14704.8+350</f>
        <v>15054.8</v>
      </c>
      <c r="X199" s="89">
        <f>W199/R199</f>
        <v>1.0000000000000007</v>
      </c>
      <c r="Y199" s="65"/>
    </row>
    <row r="200" spans="1:25" s="90" customFormat="1" ht="39" customHeight="1" x14ac:dyDescent="0.2">
      <c r="A200" s="123" t="s">
        <v>130</v>
      </c>
      <c r="B200" s="78" t="s">
        <v>131</v>
      </c>
      <c r="C200" s="79" t="s">
        <v>51</v>
      </c>
      <c r="D200" s="80" t="s">
        <v>181</v>
      </c>
      <c r="E200" s="81" t="s">
        <v>49</v>
      </c>
      <c r="F200" s="82" t="s">
        <v>182</v>
      </c>
      <c r="G200" s="83">
        <v>1</v>
      </c>
      <c r="H200" s="79" t="s">
        <v>134</v>
      </c>
      <c r="I200" s="129" t="s">
        <v>135</v>
      </c>
      <c r="J200" s="85">
        <v>4</v>
      </c>
      <c r="K200" s="86">
        <v>0</v>
      </c>
      <c r="L200" s="87">
        <f>43000</f>
        <v>43000</v>
      </c>
      <c r="M200" s="87">
        <v>0</v>
      </c>
      <c r="N200" s="86">
        <f t="shared" si="108"/>
        <v>43000</v>
      </c>
      <c r="O200" s="87">
        <v>0</v>
      </c>
      <c r="P200" s="87">
        <v>0</v>
      </c>
      <c r="Q200" s="87">
        <v>0</v>
      </c>
      <c r="R200" s="86">
        <f t="shared" si="109"/>
        <v>43000</v>
      </c>
      <c r="S200" s="87">
        <f>42550</f>
        <v>42550</v>
      </c>
      <c r="T200" s="88">
        <f t="shared" si="107"/>
        <v>0.98953488372093024</v>
      </c>
      <c r="U200" s="87">
        <v>0</v>
      </c>
      <c r="V200" s="88">
        <f>U200/R200</f>
        <v>0</v>
      </c>
      <c r="W200" s="87">
        <v>0</v>
      </c>
      <c r="X200" s="89">
        <f>W200/R200</f>
        <v>0</v>
      </c>
      <c r="Y200" s="65"/>
    </row>
    <row r="201" spans="1:25" s="90" customFormat="1" ht="39" customHeight="1" x14ac:dyDescent="0.2">
      <c r="A201" s="123" t="s">
        <v>130</v>
      </c>
      <c r="B201" s="78" t="s">
        <v>131</v>
      </c>
      <c r="C201" s="79" t="s">
        <v>51</v>
      </c>
      <c r="D201" s="80" t="s">
        <v>181</v>
      </c>
      <c r="E201" s="81" t="s">
        <v>49</v>
      </c>
      <c r="F201" s="82" t="s">
        <v>182</v>
      </c>
      <c r="G201" s="83">
        <v>1</v>
      </c>
      <c r="H201" s="79" t="s">
        <v>183</v>
      </c>
      <c r="I201" s="84" t="s">
        <v>184</v>
      </c>
      <c r="J201" s="85">
        <v>4</v>
      </c>
      <c r="K201" s="86">
        <v>400000</v>
      </c>
      <c r="L201" s="87">
        <v>0</v>
      </c>
      <c r="M201" s="87">
        <v>0</v>
      </c>
      <c r="N201" s="86">
        <f t="shared" si="108"/>
        <v>400000</v>
      </c>
      <c r="O201" s="87">
        <f>400000</f>
        <v>400000</v>
      </c>
      <c r="P201" s="87">
        <v>0</v>
      </c>
      <c r="Q201" s="87">
        <v>0</v>
      </c>
      <c r="R201" s="86">
        <f t="shared" si="109"/>
        <v>0</v>
      </c>
      <c r="S201" s="87">
        <v>0</v>
      </c>
      <c r="T201" s="88">
        <v>0</v>
      </c>
      <c r="U201" s="87">
        <v>0</v>
      </c>
      <c r="V201" s="88">
        <v>0</v>
      </c>
      <c r="W201" s="87">
        <v>0</v>
      </c>
      <c r="X201" s="89">
        <v>0</v>
      </c>
      <c r="Y201" s="65"/>
    </row>
    <row r="202" spans="1:25" s="90" customFormat="1" ht="39" customHeight="1" x14ac:dyDescent="0.2">
      <c r="A202" s="123" t="s">
        <v>130</v>
      </c>
      <c r="B202" s="78" t="s">
        <v>131</v>
      </c>
      <c r="C202" s="79" t="s">
        <v>51</v>
      </c>
      <c r="D202" s="80" t="s">
        <v>181</v>
      </c>
      <c r="E202" s="81" t="s">
        <v>49</v>
      </c>
      <c r="F202" s="82" t="s">
        <v>182</v>
      </c>
      <c r="G202" s="83">
        <v>1</v>
      </c>
      <c r="H202" s="128" t="s">
        <v>143</v>
      </c>
      <c r="I202" s="84" t="s">
        <v>144</v>
      </c>
      <c r="J202" s="85">
        <v>4</v>
      </c>
      <c r="K202" s="86">
        <v>0</v>
      </c>
      <c r="L202" s="87">
        <f>530000</f>
        <v>530000</v>
      </c>
      <c r="M202" s="87">
        <v>0</v>
      </c>
      <c r="N202" s="86">
        <f t="shared" si="108"/>
        <v>530000</v>
      </c>
      <c r="O202" s="87">
        <v>0</v>
      </c>
      <c r="P202" s="87">
        <v>0</v>
      </c>
      <c r="Q202" s="87">
        <v>0</v>
      </c>
      <c r="R202" s="86">
        <f t="shared" si="109"/>
        <v>530000</v>
      </c>
      <c r="S202" s="87">
        <f>525798.19</f>
        <v>525798.18999999994</v>
      </c>
      <c r="T202" s="88">
        <f t="shared" si="107"/>
        <v>0.99207205660377351</v>
      </c>
      <c r="U202" s="87">
        <v>0</v>
      </c>
      <c r="V202" s="88">
        <f>U202/R202</f>
        <v>0</v>
      </c>
      <c r="W202" s="87">
        <v>0</v>
      </c>
      <c r="X202" s="89">
        <f>W202/R202</f>
        <v>0</v>
      </c>
      <c r="Y202" s="65"/>
    </row>
    <row r="203" spans="1:25" s="90" customFormat="1" ht="39" customHeight="1" x14ac:dyDescent="0.2">
      <c r="A203" s="123" t="s">
        <v>130</v>
      </c>
      <c r="B203" s="78" t="s">
        <v>131</v>
      </c>
      <c r="C203" s="79" t="s">
        <v>51</v>
      </c>
      <c r="D203" s="80" t="s">
        <v>181</v>
      </c>
      <c r="E203" s="81" t="s">
        <v>49</v>
      </c>
      <c r="F203" s="82" t="s">
        <v>182</v>
      </c>
      <c r="G203" s="83">
        <v>1</v>
      </c>
      <c r="H203" s="79" t="s">
        <v>185</v>
      </c>
      <c r="I203" s="84" t="s">
        <v>186</v>
      </c>
      <c r="J203" s="85">
        <v>4</v>
      </c>
      <c r="K203" s="86">
        <v>0</v>
      </c>
      <c r="L203" s="87">
        <f>294103</f>
        <v>294103</v>
      </c>
      <c r="M203" s="87">
        <v>0</v>
      </c>
      <c r="N203" s="86">
        <f t="shared" si="108"/>
        <v>294103</v>
      </c>
      <c r="O203" s="87">
        <v>0</v>
      </c>
      <c r="P203" s="87">
        <v>0</v>
      </c>
      <c r="Q203" s="87">
        <v>0</v>
      </c>
      <c r="R203" s="86">
        <f t="shared" si="109"/>
        <v>294103</v>
      </c>
      <c r="S203" s="87">
        <f>183917.33+50352.3+10687.8+47355.09</f>
        <v>292312.52</v>
      </c>
      <c r="T203" s="88">
        <f t="shared" si="107"/>
        <v>0.99391206482082817</v>
      </c>
      <c r="U203" s="87">
        <f>49288.6+39445.06+44056.63+37502.3+4872.8+980+42479.01</f>
        <v>218624.40000000002</v>
      </c>
      <c r="V203" s="88">
        <f>U203/R203</f>
        <v>0.74335997932697051</v>
      </c>
      <c r="W203" s="87">
        <f>49288.6+39445.06+37040.68+44518.25+4872.8+980+42479.01</f>
        <v>218624.4</v>
      </c>
      <c r="X203" s="89">
        <f>W203/R203</f>
        <v>0.74335997932697051</v>
      </c>
      <c r="Y203" s="65"/>
    </row>
    <row r="204" spans="1:25" s="65" customFormat="1" ht="9" customHeight="1" x14ac:dyDescent="0.2">
      <c r="A204" s="91"/>
      <c r="B204" s="92"/>
      <c r="C204" s="93"/>
      <c r="D204" s="94"/>
      <c r="E204" s="95"/>
      <c r="F204" s="96"/>
      <c r="G204" s="97"/>
      <c r="H204" s="93"/>
      <c r="I204" s="98"/>
      <c r="J204" s="99"/>
      <c r="K204" s="100"/>
      <c r="L204" s="101"/>
      <c r="M204" s="101"/>
      <c r="N204" s="100"/>
      <c r="O204" s="101"/>
      <c r="P204" s="101"/>
      <c r="Q204" s="101"/>
      <c r="R204" s="100"/>
      <c r="S204" s="101"/>
      <c r="T204" s="102"/>
      <c r="U204" s="101"/>
      <c r="V204" s="102"/>
      <c r="W204" s="101"/>
      <c r="X204" s="103"/>
    </row>
    <row r="205" spans="1:25" s="76" customFormat="1" ht="39" customHeight="1" x14ac:dyDescent="0.2">
      <c r="A205" s="130" t="s">
        <v>130</v>
      </c>
      <c r="B205" s="105" t="s">
        <v>138</v>
      </c>
      <c r="C205" s="106"/>
      <c r="D205" s="107" t="s">
        <v>187</v>
      </c>
      <c r="E205" s="108" t="s">
        <v>49</v>
      </c>
      <c r="F205" s="105" t="s">
        <v>188</v>
      </c>
      <c r="G205" s="109"/>
      <c r="H205" s="109"/>
      <c r="I205" s="109"/>
      <c r="J205" s="106"/>
      <c r="K205" s="110">
        <f>SUM(K206:K210)</f>
        <v>50000</v>
      </c>
      <c r="L205" s="110">
        <f t="shared" ref="L205:S205" si="110">SUM(L206:L210)</f>
        <v>1612582</v>
      </c>
      <c r="M205" s="110">
        <f t="shared" si="110"/>
        <v>262700</v>
      </c>
      <c r="N205" s="110">
        <f t="shared" si="110"/>
        <v>1399882</v>
      </c>
      <c r="O205" s="110">
        <f t="shared" si="110"/>
        <v>50000</v>
      </c>
      <c r="P205" s="110">
        <f t="shared" si="110"/>
        <v>0</v>
      </c>
      <c r="Q205" s="110">
        <f t="shared" si="110"/>
        <v>0</v>
      </c>
      <c r="R205" s="110">
        <f t="shared" si="110"/>
        <v>1349882</v>
      </c>
      <c r="S205" s="110">
        <f t="shared" si="110"/>
        <v>1019958.9199999999</v>
      </c>
      <c r="T205" s="111">
        <f t="shared" ref="T205:T210" si="111">S205/R205</f>
        <v>0.75559117019117217</v>
      </c>
      <c r="U205" s="110">
        <f>SUM(U206:U210)</f>
        <v>10973.84</v>
      </c>
      <c r="V205" s="111">
        <f>U205/R205</f>
        <v>8.1294809472235354E-3</v>
      </c>
      <c r="W205" s="110">
        <f>SUM(W206:W210)</f>
        <v>10973.84</v>
      </c>
      <c r="X205" s="112">
        <f>W205/R205</f>
        <v>8.1294809472235354E-3</v>
      </c>
      <c r="Y205" s="75"/>
    </row>
    <row r="206" spans="1:25" s="90" customFormat="1" ht="39" customHeight="1" x14ac:dyDescent="0.2">
      <c r="A206" s="123" t="s">
        <v>130</v>
      </c>
      <c r="B206" s="78" t="s">
        <v>131</v>
      </c>
      <c r="C206" s="79" t="s">
        <v>51</v>
      </c>
      <c r="D206" s="80" t="s">
        <v>187</v>
      </c>
      <c r="E206" s="81" t="s">
        <v>49</v>
      </c>
      <c r="F206" s="82" t="s">
        <v>188</v>
      </c>
      <c r="G206" s="83">
        <v>1</v>
      </c>
      <c r="H206" s="79" t="s">
        <v>52</v>
      </c>
      <c r="I206" s="84" t="s">
        <v>53</v>
      </c>
      <c r="J206" s="85">
        <v>4</v>
      </c>
      <c r="K206" s="86">
        <v>0</v>
      </c>
      <c r="L206" s="87">
        <f>275582</f>
        <v>275582</v>
      </c>
      <c r="M206" s="87">
        <v>0</v>
      </c>
      <c r="N206" s="86">
        <f t="shared" ref="N206" si="112">K206+L206-M206</f>
        <v>275582</v>
      </c>
      <c r="O206" s="87">
        <f>275582-275582</f>
        <v>0</v>
      </c>
      <c r="P206" s="87">
        <v>0</v>
      </c>
      <c r="Q206" s="87">
        <v>0</v>
      </c>
      <c r="R206" s="86">
        <f t="shared" ref="R206" si="113">N206-O206+P206+Q206</f>
        <v>275582</v>
      </c>
      <c r="S206" s="87">
        <f>274747.74</f>
        <v>274747.74</v>
      </c>
      <c r="T206" s="88">
        <f t="shared" si="111"/>
        <v>0.99697273406826281</v>
      </c>
      <c r="U206" s="87">
        <v>0</v>
      </c>
      <c r="V206" s="88">
        <f t="shared" ref="V206:V210" si="114">U206/R206</f>
        <v>0</v>
      </c>
      <c r="W206" s="87">
        <v>0</v>
      </c>
      <c r="X206" s="89">
        <f t="shared" ref="X206:X210" si="115">W206/R206</f>
        <v>0</v>
      </c>
      <c r="Y206" s="65"/>
    </row>
    <row r="207" spans="1:25" s="90" customFormat="1" ht="39" customHeight="1" x14ac:dyDescent="0.2">
      <c r="A207" s="123" t="s">
        <v>130</v>
      </c>
      <c r="B207" s="78" t="s">
        <v>131</v>
      </c>
      <c r="C207" s="79" t="s">
        <v>51</v>
      </c>
      <c r="D207" s="80" t="s">
        <v>187</v>
      </c>
      <c r="E207" s="81" t="s">
        <v>49</v>
      </c>
      <c r="F207" s="82" t="s">
        <v>188</v>
      </c>
      <c r="G207" s="83">
        <v>1</v>
      </c>
      <c r="H207" s="79" t="s">
        <v>183</v>
      </c>
      <c r="I207" s="84" t="s">
        <v>184</v>
      </c>
      <c r="J207" s="85">
        <v>4</v>
      </c>
      <c r="K207" s="86">
        <v>50000</v>
      </c>
      <c r="L207" s="87">
        <v>0</v>
      </c>
      <c r="M207" s="87">
        <v>0</v>
      </c>
      <c r="N207" s="86">
        <f t="shared" si="108"/>
        <v>50000</v>
      </c>
      <c r="O207" s="87">
        <f>50000</f>
        <v>50000</v>
      </c>
      <c r="P207" s="87">
        <v>0</v>
      </c>
      <c r="Q207" s="87">
        <v>0</v>
      </c>
      <c r="R207" s="86">
        <f t="shared" si="109"/>
        <v>0</v>
      </c>
      <c r="S207" s="87">
        <v>0</v>
      </c>
      <c r="T207" s="88">
        <v>0</v>
      </c>
      <c r="U207" s="87">
        <v>0</v>
      </c>
      <c r="V207" s="88">
        <v>0</v>
      </c>
      <c r="W207" s="87">
        <v>0</v>
      </c>
      <c r="X207" s="89">
        <v>0</v>
      </c>
      <c r="Y207" s="65"/>
    </row>
    <row r="208" spans="1:25" s="90" customFormat="1" ht="39" customHeight="1" x14ac:dyDescent="0.2">
      <c r="A208" s="123" t="s">
        <v>130</v>
      </c>
      <c r="B208" s="78" t="s">
        <v>131</v>
      </c>
      <c r="C208" s="79" t="s">
        <v>51</v>
      </c>
      <c r="D208" s="80" t="s">
        <v>187</v>
      </c>
      <c r="E208" s="81" t="s">
        <v>49</v>
      </c>
      <c r="F208" s="82" t="s">
        <v>188</v>
      </c>
      <c r="G208" s="83">
        <v>1</v>
      </c>
      <c r="H208" s="115" t="s">
        <v>61</v>
      </c>
      <c r="I208" s="116" t="s">
        <v>62</v>
      </c>
      <c r="J208" s="85">
        <v>4</v>
      </c>
      <c r="K208" s="86">
        <v>0</v>
      </c>
      <c r="L208" s="87">
        <f>1200000</f>
        <v>1200000</v>
      </c>
      <c r="M208" s="87">
        <f>50000+212700</f>
        <v>262700</v>
      </c>
      <c r="N208" s="86">
        <f t="shared" si="108"/>
        <v>937300</v>
      </c>
      <c r="O208" s="87">
        <f>937300-176334-760966</f>
        <v>0</v>
      </c>
      <c r="P208" s="87">
        <v>0</v>
      </c>
      <c r="Q208" s="87">
        <v>0</v>
      </c>
      <c r="R208" s="86">
        <f t="shared" si="109"/>
        <v>937300</v>
      </c>
      <c r="S208" s="87">
        <f>176030.06+483177.13</f>
        <v>659207.18999999994</v>
      </c>
      <c r="T208" s="88">
        <f t="shared" si="111"/>
        <v>0.70330437426651016</v>
      </c>
      <c r="U208" s="87">
        <v>0</v>
      </c>
      <c r="V208" s="88">
        <f t="shared" si="114"/>
        <v>0</v>
      </c>
      <c r="W208" s="87">
        <v>0</v>
      </c>
      <c r="X208" s="89">
        <f t="shared" si="115"/>
        <v>0</v>
      </c>
      <c r="Y208" s="65"/>
    </row>
    <row r="209" spans="1:25" s="90" customFormat="1" ht="39" customHeight="1" x14ac:dyDescent="0.2">
      <c r="A209" s="123" t="s">
        <v>130</v>
      </c>
      <c r="B209" s="78" t="s">
        <v>131</v>
      </c>
      <c r="C209" s="79" t="s">
        <v>51</v>
      </c>
      <c r="D209" s="80" t="s">
        <v>187</v>
      </c>
      <c r="E209" s="81" t="s">
        <v>49</v>
      </c>
      <c r="F209" s="82" t="s">
        <v>188</v>
      </c>
      <c r="G209" s="83">
        <v>1</v>
      </c>
      <c r="H209" s="128" t="s">
        <v>143</v>
      </c>
      <c r="I209" s="84" t="s">
        <v>144</v>
      </c>
      <c r="J209" s="85">
        <v>4</v>
      </c>
      <c r="K209" s="86">
        <v>0</v>
      </c>
      <c r="L209" s="87">
        <f>50000+37000</f>
        <v>87000</v>
      </c>
      <c r="M209" s="87">
        <v>0</v>
      </c>
      <c r="N209" s="86">
        <f t="shared" si="108"/>
        <v>87000</v>
      </c>
      <c r="O209" s="87">
        <f>50000-50000</f>
        <v>0</v>
      </c>
      <c r="P209" s="87">
        <v>0</v>
      </c>
      <c r="Q209" s="87">
        <v>0</v>
      </c>
      <c r="R209" s="86">
        <f t="shared" si="109"/>
        <v>87000</v>
      </c>
      <c r="S209" s="87">
        <f>28147.21+34754.45</f>
        <v>62901.659999999996</v>
      </c>
      <c r="T209" s="88">
        <f t="shared" si="111"/>
        <v>0.72300758620689654</v>
      </c>
      <c r="U209" s="87">
        <v>0</v>
      </c>
      <c r="V209" s="88">
        <f t="shared" si="114"/>
        <v>0</v>
      </c>
      <c r="W209" s="87">
        <v>0</v>
      </c>
      <c r="X209" s="89">
        <f t="shared" si="115"/>
        <v>0</v>
      </c>
      <c r="Y209" s="65"/>
    </row>
    <row r="210" spans="1:25" s="90" customFormat="1" ht="39" customHeight="1" x14ac:dyDescent="0.2">
      <c r="A210" s="123" t="s">
        <v>130</v>
      </c>
      <c r="B210" s="78" t="s">
        <v>131</v>
      </c>
      <c r="C210" s="79" t="s">
        <v>51</v>
      </c>
      <c r="D210" s="80" t="s">
        <v>187</v>
      </c>
      <c r="E210" s="81" t="s">
        <v>49</v>
      </c>
      <c r="F210" s="82" t="s">
        <v>188</v>
      </c>
      <c r="G210" s="83">
        <v>1</v>
      </c>
      <c r="H210" s="137" t="s">
        <v>185</v>
      </c>
      <c r="I210" s="133" t="s">
        <v>186</v>
      </c>
      <c r="J210" s="85">
        <v>4</v>
      </c>
      <c r="K210" s="86">
        <v>0</v>
      </c>
      <c r="L210" s="87">
        <f>50000</f>
        <v>50000</v>
      </c>
      <c r="M210" s="87">
        <v>0</v>
      </c>
      <c r="N210" s="86">
        <f t="shared" si="108"/>
        <v>50000</v>
      </c>
      <c r="O210" s="87">
        <v>0</v>
      </c>
      <c r="P210" s="87">
        <v>0</v>
      </c>
      <c r="Q210" s="87">
        <v>0</v>
      </c>
      <c r="R210" s="86">
        <f t="shared" si="109"/>
        <v>50000</v>
      </c>
      <c r="S210" s="87">
        <f>13214.32+1953.88+6279.99+243.64+1410.5</f>
        <v>23102.33</v>
      </c>
      <c r="T210" s="88">
        <f t="shared" si="111"/>
        <v>0.46204660000000003</v>
      </c>
      <c r="U210" s="87">
        <f>3625.98+2355.65+2511.69+1953.88+243.64+283</f>
        <v>10973.84</v>
      </c>
      <c r="V210" s="88">
        <f t="shared" si="114"/>
        <v>0.2194768</v>
      </c>
      <c r="W210" s="87">
        <f>3625.98+2355.65+1732.14+2733.43+243.64+283</f>
        <v>10973.84</v>
      </c>
      <c r="X210" s="89">
        <f t="shared" si="115"/>
        <v>0.2194768</v>
      </c>
      <c r="Y210" s="65"/>
    </row>
    <row r="211" spans="1:25" s="65" customFormat="1" ht="9" customHeight="1" x14ac:dyDescent="0.2">
      <c r="A211" s="91"/>
      <c r="B211" s="92"/>
      <c r="C211" s="93"/>
      <c r="D211" s="94"/>
      <c r="E211" s="95"/>
      <c r="F211" s="96"/>
      <c r="G211" s="97"/>
      <c r="H211" s="93"/>
      <c r="I211" s="98"/>
      <c r="J211" s="99"/>
      <c r="K211" s="100"/>
      <c r="L211" s="101"/>
      <c r="M211" s="101"/>
      <c r="N211" s="100"/>
      <c r="O211" s="101"/>
      <c r="P211" s="101"/>
      <c r="Q211" s="101"/>
      <c r="R211" s="100"/>
      <c r="S211" s="101"/>
      <c r="T211" s="102"/>
      <c r="U211" s="101"/>
      <c r="V211" s="102"/>
      <c r="W211" s="101"/>
      <c r="X211" s="103"/>
    </row>
    <row r="212" spans="1:25" s="76" customFormat="1" ht="39" customHeight="1" x14ac:dyDescent="0.2">
      <c r="A212" s="130" t="s">
        <v>130</v>
      </c>
      <c r="B212" s="105" t="s">
        <v>138</v>
      </c>
      <c r="C212" s="106"/>
      <c r="D212" s="107" t="s">
        <v>189</v>
      </c>
      <c r="E212" s="108" t="s">
        <v>49</v>
      </c>
      <c r="F212" s="105" t="s">
        <v>190</v>
      </c>
      <c r="G212" s="109"/>
      <c r="H212" s="109"/>
      <c r="I212" s="109"/>
      <c r="J212" s="106"/>
      <c r="K212" s="110">
        <f>SUM(K213:K216)</f>
        <v>200000</v>
      </c>
      <c r="L212" s="110">
        <f t="shared" ref="L212:S212" si="116">SUM(L213:L216)</f>
        <v>200000</v>
      </c>
      <c r="M212" s="110">
        <f t="shared" si="116"/>
        <v>0</v>
      </c>
      <c r="N212" s="110">
        <f t="shared" si="116"/>
        <v>400000</v>
      </c>
      <c r="O212" s="110">
        <f t="shared" si="116"/>
        <v>108829.64</v>
      </c>
      <c r="P212" s="110">
        <f t="shared" si="116"/>
        <v>0</v>
      </c>
      <c r="Q212" s="110">
        <f t="shared" si="116"/>
        <v>0</v>
      </c>
      <c r="R212" s="110">
        <f t="shared" si="116"/>
        <v>291170.36</v>
      </c>
      <c r="S212" s="110">
        <f t="shared" si="116"/>
        <v>263055.42</v>
      </c>
      <c r="T212" s="111">
        <f t="shared" ref="T212:T213" si="117">S212/R212</f>
        <v>0.90344161404340739</v>
      </c>
      <c r="U212" s="110">
        <f>SUM(U213:U216)</f>
        <v>126075.55</v>
      </c>
      <c r="V212" s="111">
        <f>U212/R212</f>
        <v>0.43299582416287158</v>
      </c>
      <c r="W212" s="110">
        <f>SUM(W213:W216)</f>
        <v>126075.55</v>
      </c>
      <c r="X212" s="112">
        <f>W212/R212</f>
        <v>0.43299582416287158</v>
      </c>
      <c r="Y212" s="75"/>
    </row>
    <row r="213" spans="1:25" s="90" customFormat="1" ht="39" customHeight="1" x14ac:dyDescent="0.2">
      <c r="A213" s="123" t="s">
        <v>130</v>
      </c>
      <c r="B213" s="78" t="s">
        <v>131</v>
      </c>
      <c r="C213" s="79" t="s">
        <v>51</v>
      </c>
      <c r="D213" s="80" t="s">
        <v>189</v>
      </c>
      <c r="E213" s="81" t="s">
        <v>49</v>
      </c>
      <c r="F213" s="82" t="s">
        <v>191</v>
      </c>
      <c r="G213" s="83">
        <v>1</v>
      </c>
      <c r="H213" s="79" t="s">
        <v>52</v>
      </c>
      <c r="I213" s="84" t="s">
        <v>53</v>
      </c>
      <c r="J213" s="85">
        <v>4</v>
      </c>
      <c r="K213" s="86">
        <v>125000</v>
      </c>
      <c r="L213" s="87">
        <v>0</v>
      </c>
      <c r="M213" s="87">
        <v>0</v>
      </c>
      <c r="N213" s="86">
        <f t="shared" si="108"/>
        <v>125000</v>
      </c>
      <c r="O213" s="87">
        <f>84689.64-70000+19140</f>
        <v>33829.64</v>
      </c>
      <c r="P213" s="87">
        <v>0</v>
      </c>
      <c r="Q213" s="87">
        <v>0</v>
      </c>
      <c r="R213" s="86">
        <f t="shared" si="109"/>
        <v>91170.36</v>
      </c>
      <c r="S213" s="87">
        <f>40180.96+129.4+50860</f>
        <v>91170.36</v>
      </c>
      <c r="T213" s="88">
        <f t="shared" si="117"/>
        <v>1</v>
      </c>
      <c r="U213" s="87">
        <f>86.9+129.4+40094.06+50860</f>
        <v>91170.36</v>
      </c>
      <c r="V213" s="88">
        <f>U213/R213</f>
        <v>1</v>
      </c>
      <c r="W213" s="87">
        <f>86.9+129.4+40094.06+50860</f>
        <v>91170.36</v>
      </c>
      <c r="X213" s="89">
        <f>W213/R213</f>
        <v>1</v>
      </c>
      <c r="Y213" s="65"/>
    </row>
    <row r="214" spans="1:25" s="90" customFormat="1" ht="39" customHeight="1" x14ac:dyDescent="0.2">
      <c r="A214" s="123" t="s">
        <v>130</v>
      </c>
      <c r="B214" s="78" t="s">
        <v>131</v>
      </c>
      <c r="C214" s="79" t="s">
        <v>51</v>
      </c>
      <c r="D214" s="80" t="s">
        <v>189</v>
      </c>
      <c r="E214" s="81" t="s">
        <v>49</v>
      </c>
      <c r="F214" s="82" t="s">
        <v>191</v>
      </c>
      <c r="G214" s="83">
        <v>1</v>
      </c>
      <c r="H214" s="137" t="s">
        <v>183</v>
      </c>
      <c r="I214" s="133" t="s">
        <v>184</v>
      </c>
      <c r="J214" s="85">
        <v>4</v>
      </c>
      <c r="K214" s="86">
        <v>75000</v>
      </c>
      <c r="L214" s="87">
        <v>0</v>
      </c>
      <c r="M214" s="87">
        <v>0</v>
      </c>
      <c r="N214" s="86">
        <f t="shared" si="108"/>
        <v>75000</v>
      </c>
      <c r="O214" s="87">
        <f>75000</f>
        <v>75000</v>
      </c>
      <c r="P214" s="87">
        <v>0</v>
      </c>
      <c r="Q214" s="87">
        <v>0</v>
      </c>
      <c r="R214" s="86">
        <f t="shared" si="109"/>
        <v>0</v>
      </c>
      <c r="S214" s="87">
        <v>0</v>
      </c>
      <c r="T214" s="88">
        <v>0</v>
      </c>
      <c r="U214" s="87">
        <v>0</v>
      </c>
      <c r="V214" s="88">
        <v>0</v>
      </c>
      <c r="W214" s="87">
        <v>0</v>
      </c>
      <c r="X214" s="89">
        <v>0</v>
      </c>
      <c r="Y214" s="65"/>
    </row>
    <row r="215" spans="1:25" s="90" customFormat="1" ht="39" customHeight="1" x14ac:dyDescent="0.2">
      <c r="A215" s="123" t="s">
        <v>130</v>
      </c>
      <c r="B215" s="78" t="s">
        <v>131</v>
      </c>
      <c r="C215" s="79" t="s">
        <v>51</v>
      </c>
      <c r="D215" s="80" t="s">
        <v>189</v>
      </c>
      <c r="E215" s="81" t="s">
        <v>49</v>
      </c>
      <c r="F215" s="82" t="s">
        <v>191</v>
      </c>
      <c r="G215" s="83">
        <v>1</v>
      </c>
      <c r="H215" s="128" t="s">
        <v>143</v>
      </c>
      <c r="I215" s="84" t="s">
        <v>144</v>
      </c>
      <c r="J215" s="85">
        <v>4</v>
      </c>
      <c r="K215" s="86">
        <v>0</v>
      </c>
      <c r="L215" s="87">
        <f>100000</f>
        <v>100000</v>
      </c>
      <c r="M215" s="87">
        <v>0</v>
      </c>
      <c r="N215" s="86">
        <f t="shared" si="108"/>
        <v>100000</v>
      </c>
      <c r="O215" s="87">
        <v>0</v>
      </c>
      <c r="P215" s="87">
        <v>0</v>
      </c>
      <c r="Q215" s="87">
        <v>0</v>
      </c>
      <c r="R215" s="86">
        <f t="shared" si="109"/>
        <v>100000</v>
      </c>
      <c r="S215" s="87">
        <f>98553.42</f>
        <v>98553.42</v>
      </c>
      <c r="T215" s="88">
        <f t="shared" ref="T215:T216" si="118">S215/R215</f>
        <v>0.98553420000000003</v>
      </c>
      <c r="U215" s="87">
        <v>0</v>
      </c>
      <c r="V215" s="88">
        <f>U215/R215</f>
        <v>0</v>
      </c>
      <c r="W215" s="87">
        <v>0</v>
      </c>
      <c r="X215" s="89">
        <f>W215/R215</f>
        <v>0</v>
      </c>
      <c r="Y215" s="65"/>
    </row>
    <row r="216" spans="1:25" s="90" customFormat="1" ht="39" customHeight="1" x14ac:dyDescent="0.2">
      <c r="A216" s="123" t="s">
        <v>130</v>
      </c>
      <c r="B216" s="78" t="s">
        <v>131</v>
      </c>
      <c r="C216" s="79" t="s">
        <v>51</v>
      </c>
      <c r="D216" s="80" t="s">
        <v>189</v>
      </c>
      <c r="E216" s="81" t="s">
        <v>49</v>
      </c>
      <c r="F216" s="82" t="s">
        <v>191</v>
      </c>
      <c r="G216" s="83">
        <v>1</v>
      </c>
      <c r="H216" s="137" t="s">
        <v>185</v>
      </c>
      <c r="I216" s="133" t="s">
        <v>186</v>
      </c>
      <c r="J216" s="85">
        <v>4</v>
      </c>
      <c r="K216" s="86">
        <v>0</v>
      </c>
      <c r="L216" s="87">
        <f>100000</f>
        <v>100000</v>
      </c>
      <c r="M216" s="87">
        <v>0</v>
      </c>
      <c r="N216" s="86">
        <f t="shared" si="108"/>
        <v>100000</v>
      </c>
      <c r="O216" s="87">
        <v>0</v>
      </c>
      <c r="P216" s="87">
        <v>0</v>
      </c>
      <c r="Q216" s="87">
        <v>0</v>
      </c>
      <c r="R216" s="86">
        <f t="shared" si="109"/>
        <v>100000</v>
      </c>
      <c r="S216" s="87">
        <f>29053.08+12303.26+19248.99+6374.56+6351.75</f>
        <v>73331.64</v>
      </c>
      <c r="T216" s="88">
        <f t="shared" si="118"/>
        <v>0.73331639999999998</v>
      </c>
      <c r="U216" s="87">
        <f>9225.92+6503.7+7015.38+8036.26+974.56+258.8+2890.57</f>
        <v>34905.19</v>
      </c>
      <c r="V216" s="88">
        <f>U216/R216</f>
        <v>0.34905190000000003</v>
      </c>
      <c r="W216" s="87">
        <f>9225.92+6503.7+5456.28+9595.36+974.56+3149.37</f>
        <v>34905.19</v>
      </c>
      <c r="X216" s="89">
        <f>W216/R216</f>
        <v>0.34905190000000003</v>
      </c>
      <c r="Y216" s="65"/>
    </row>
    <row r="217" spans="1:25" s="65" customFormat="1" ht="9" customHeight="1" x14ac:dyDescent="0.2">
      <c r="A217" s="134"/>
      <c r="B217" s="92"/>
      <c r="C217" s="93"/>
      <c r="D217" s="94"/>
      <c r="E217" s="95"/>
      <c r="F217" s="96"/>
      <c r="G217" s="97"/>
      <c r="H217" s="93"/>
      <c r="I217" s="98"/>
      <c r="J217" s="99"/>
      <c r="K217" s="101"/>
      <c r="L217" s="101"/>
      <c r="M217" s="101"/>
      <c r="N217" s="101"/>
      <c r="O217" s="101"/>
      <c r="P217" s="101"/>
      <c r="Q217" s="101"/>
      <c r="R217" s="101"/>
      <c r="S217" s="101"/>
      <c r="T217" s="102"/>
      <c r="U217" s="101"/>
      <c r="V217" s="102"/>
      <c r="W217" s="101"/>
      <c r="X217" s="103"/>
    </row>
    <row r="218" spans="1:25" s="76" customFormat="1" ht="39" customHeight="1" x14ac:dyDescent="0.2">
      <c r="A218" s="130" t="s">
        <v>130</v>
      </c>
      <c r="B218" s="105" t="s">
        <v>138</v>
      </c>
      <c r="C218" s="106"/>
      <c r="D218" s="107" t="s">
        <v>192</v>
      </c>
      <c r="E218" s="108" t="s">
        <v>49</v>
      </c>
      <c r="F218" s="105" t="s">
        <v>193</v>
      </c>
      <c r="G218" s="109"/>
      <c r="H218" s="109"/>
      <c r="I218" s="109"/>
      <c r="J218" s="106"/>
      <c r="K218" s="110">
        <f>SUM(K219:K219)</f>
        <v>314000</v>
      </c>
      <c r="L218" s="110">
        <f t="shared" ref="L218:S218" si="119">SUM(L219:L219)</f>
        <v>0</v>
      </c>
      <c r="M218" s="110">
        <f t="shared" si="119"/>
        <v>0</v>
      </c>
      <c r="N218" s="110">
        <f>SUM(N219:N219)</f>
        <v>314000</v>
      </c>
      <c r="O218" s="110">
        <f t="shared" si="119"/>
        <v>29866.89</v>
      </c>
      <c r="P218" s="110">
        <f t="shared" si="119"/>
        <v>0</v>
      </c>
      <c r="Q218" s="110">
        <f t="shared" si="119"/>
        <v>0</v>
      </c>
      <c r="R218" s="110">
        <f t="shared" si="119"/>
        <v>284133.11</v>
      </c>
      <c r="S218" s="110">
        <f t="shared" si="119"/>
        <v>133.11000000000001</v>
      </c>
      <c r="T218" s="111">
        <f>S218/R218</f>
        <v>4.6847760896292595E-4</v>
      </c>
      <c r="U218" s="110">
        <f>SUM(U219:U219)</f>
        <v>133.11000000000001</v>
      </c>
      <c r="V218" s="111">
        <f>U218/R218</f>
        <v>4.6847760896292595E-4</v>
      </c>
      <c r="W218" s="110">
        <f>SUM(W219:W219)</f>
        <v>133.11000000000001</v>
      </c>
      <c r="X218" s="112">
        <f>W218/R218</f>
        <v>4.6847760896292595E-4</v>
      </c>
      <c r="Y218" s="75"/>
    </row>
    <row r="219" spans="1:25" s="76" customFormat="1" ht="39" customHeight="1" x14ac:dyDescent="0.2">
      <c r="A219" s="123" t="s">
        <v>130</v>
      </c>
      <c r="B219" s="78" t="s">
        <v>131</v>
      </c>
      <c r="C219" s="79" t="s">
        <v>51</v>
      </c>
      <c r="D219" s="80" t="s">
        <v>192</v>
      </c>
      <c r="E219" s="81" t="s">
        <v>49</v>
      </c>
      <c r="F219" s="82" t="s">
        <v>193</v>
      </c>
      <c r="G219" s="83">
        <v>1</v>
      </c>
      <c r="H219" s="79" t="s">
        <v>134</v>
      </c>
      <c r="I219" s="129" t="s">
        <v>135</v>
      </c>
      <c r="J219" s="85">
        <v>3</v>
      </c>
      <c r="K219" s="86">
        <v>314000</v>
      </c>
      <c r="L219" s="87">
        <v>0</v>
      </c>
      <c r="M219" s="87">
        <v>0</v>
      </c>
      <c r="N219" s="86">
        <f t="shared" ref="N219" si="120">K219+L219-M219</f>
        <v>314000</v>
      </c>
      <c r="O219" s="87">
        <f>29866.89</f>
        <v>29866.89</v>
      </c>
      <c r="P219" s="87">
        <v>0</v>
      </c>
      <c r="Q219" s="87">
        <v>0</v>
      </c>
      <c r="R219" s="86">
        <f t="shared" ref="R219" si="121">N219-O219+P219+Q219</f>
        <v>284133.11</v>
      </c>
      <c r="S219" s="87">
        <f>133.11</f>
        <v>133.11000000000001</v>
      </c>
      <c r="T219" s="88">
        <f>S219/R219</f>
        <v>4.6847760896292595E-4</v>
      </c>
      <c r="U219" s="87">
        <f>133.11</f>
        <v>133.11000000000001</v>
      </c>
      <c r="V219" s="88">
        <f>U219/R219</f>
        <v>4.6847760896292595E-4</v>
      </c>
      <c r="W219" s="87">
        <f>133.11</f>
        <v>133.11000000000001</v>
      </c>
      <c r="X219" s="89">
        <f>W219/R219</f>
        <v>4.6847760896292595E-4</v>
      </c>
      <c r="Y219" s="75"/>
    </row>
    <row r="220" spans="1:25" s="65" customFormat="1" ht="9" customHeight="1" x14ac:dyDescent="0.2">
      <c r="A220" s="134"/>
      <c r="B220" s="92"/>
      <c r="C220" s="93"/>
      <c r="D220" s="94"/>
      <c r="E220" s="95"/>
      <c r="F220" s="96"/>
      <c r="G220" s="97"/>
      <c r="H220" s="93"/>
      <c r="I220" s="98"/>
      <c r="J220" s="99"/>
      <c r="K220" s="101"/>
      <c r="L220" s="101"/>
      <c r="M220" s="101"/>
      <c r="N220" s="101"/>
      <c r="O220" s="101"/>
      <c r="P220" s="101"/>
      <c r="Q220" s="101"/>
      <c r="R220" s="101"/>
      <c r="S220" s="101"/>
      <c r="T220" s="102"/>
      <c r="U220" s="101"/>
      <c r="V220" s="102"/>
      <c r="W220" s="101"/>
      <c r="X220" s="103"/>
    </row>
    <row r="221" spans="1:25" s="76" customFormat="1" ht="39" customHeight="1" x14ac:dyDescent="0.2">
      <c r="A221" s="130" t="s">
        <v>130</v>
      </c>
      <c r="B221" s="105" t="s">
        <v>138</v>
      </c>
      <c r="C221" s="106"/>
      <c r="D221" s="107" t="s">
        <v>194</v>
      </c>
      <c r="E221" s="108" t="s">
        <v>49</v>
      </c>
      <c r="F221" s="105" t="s">
        <v>195</v>
      </c>
      <c r="G221" s="109"/>
      <c r="H221" s="109"/>
      <c r="I221" s="109"/>
      <c r="J221" s="106"/>
      <c r="K221" s="110">
        <f>SUM(K222:K224)</f>
        <v>409000</v>
      </c>
      <c r="L221" s="110">
        <f t="shared" ref="L221:S221" si="122">SUM(L222:L224)</f>
        <v>143681</v>
      </c>
      <c r="M221" s="110">
        <f t="shared" si="122"/>
        <v>0</v>
      </c>
      <c r="N221" s="110">
        <f t="shared" si="122"/>
        <v>552681</v>
      </c>
      <c r="O221" s="110">
        <f t="shared" si="122"/>
        <v>137400</v>
      </c>
      <c r="P221" s="110">
        <f t="shared" si="122"/>
        <v>0</v>
      </c>
      <c r="Q221" s="110">
        <f t="shared" si="122"/>
        <v>0</v>
      </c>
      <c r="R221" s="110">
        <f t="shared" si="122"/>
        <v>415281</v>
      </c>
      <c r="S221" s="110">
        <f t="shared" si="122"/>
        <v>26468.32</v>
      </c>
      <c r="T221" s="111">
        <f>S221/R221</f>
        <v>6.3735928202831332E-2</v>
      </c>
      <c r="U221" s="110">
        <f>SUM(U222:U224)</f>
        <v>22925.02</v>
      </c>
      <c r="V221" s="111">
        <f>U221/R221</f>
        <v>5.5203633202578498E-2</v>
      </c>
      <c r="W221" s="110">
        <f>SUM(W222:W224)</f>
        <v>22925.02</v>
      </c>
      <c r="X221" s="112">
        <f>W221/R221</f>
        <v>5.5203633202578498E-2</v>
      </c>
      <c r="Y221" s="75"/>
    </row>
    <row r="222" spans="1:25" s="90" customFormat="1" ht="39" customHeight="1" x14ac:dyDescent="0.2">
      <c r="A222" s="123" t="s">
        <v>130</v>
      </c>
      <c r="B222" s="78" t="s">
        <v>131</v>
      </c>
      <c r="C222" s="79" t="s">
        <v>51</v>
      </c>
      <c r="D222" s="80" t="s">
        <v>194</v>
      </c>
      <c r="E222" s="81" t="s">
        <v>49</v>
      </c>
      <c r="F222" s="82" t="s">
        <v>195</v>
      </c>
      <c r="G222" s="83">
        <v>1</v>
      </c>
      <c r="H222" s="79" t="s">
        <v>52</v>
      </c>
      <c r="I222" s="84" t="s">
        <v>53</v>
      </c>
      <c r="J222" s="85">
        <v>4</v>
      </c>
      <c r="K222" s="86">
        <v>50000</v>
      </c>
      <c r="L222" s="87">
        <v>0</v>
      </c>
      <c r="M222" s="87">
        <v>0</v>
      </c>
      <c r="N222" s="86">
        <f>K222+L222-M222</f>
        <v>50000</v>
      </c>
      <c r="O222" s="87">
        <v>0</v>
      </c>
      <c r="P222" s="87">
        <v>0</v>
      </c>
      <c r="Q222" s="87">
        <v>0</v>
      </c>
      <c r="R222" s="86">
        <f>N222-O222+P222+Q222</f>
        <v>50000</v>
      </c>
      <c r="S222" s="87">
        <v>0</v>
      </c>
      <c r="T222" s="88">
        <f>S222/R222</f>
        <v>0</v>
      </c>
      <c r="U222" s="87">
        <v>0</v>
      </c>
      <c r="V222" s="88">
        <f>U222/R222</f>
        <v>0</v>
      </c>
      <c r="W222" s="87">
        <v>0</v>
      </c>
      <c r="X222" s="89">
        <f>W222/R222</f>
        <v>0</v>
      </c>
      <c r="Y222" s="65"/>
    </row>
    <row r="223" spans="1:25" s="90" customFormat="1" ht="39" customHeight="1" x14ac:dyDescent="0.2">
      <c r="A223" s="123" t="s">
        <v>130</v>
      </c>
      <c r="B223" s="78" t="s">
        <v>131</v>
      </c>
      <c r="C223" s="79" t="s">
        <v>51</v>
      </c>
      <c r="D223" s="80" t="s">
        <v>194</v>
      </c>
      <c r="E223" s="81" t="s">
        <v>49</v>
      </c>
      <c r="F223" s="82" t="s">
        <v>195</v>
      </c>
      <c r="G223" s="83">
        <v>1</v>
      </c>
      <c r="H223" s="79" t="s">
        <v>134</v>
      </c>
      <c r="I223" s="129" t="s">
        <v>135</v>
      </c>
      <c r="J223" s="85">
        <v>3</v>
      </c>
      <c r="K223" s="86">
        <v>359000</v>
      </c>
      <c r="L223" s="87">
        <f>6281</f>
        <v>6281</v>
      </c>
      <c r="M223" s="87">
        <v>0</v>
      </c>
      <c r="N223" s="86">
        <f>K223+L223-M223</f>
        <v>365281</v>
      </c>
      <c r="O223" s="87">
        <v>0</v>
      </c>
      <c r="P223" s="87">
        <v>0</v>
      </c>
      <c r="Q223" s="87">
        <v>0</v>
      </c>
      <c r="R223" s="86">
        <f>N223-O223+P223+Q223</f>
        <v>365281</v>
      </c>
      <c r="S223" s="87">
        <f>259.02+58+13502+9106+3543.3</f>
        <v>26468.32</v>
      </c>
      <c r="T223" s="88">
        <f>S223/R223</f>
        <v>7.2460160807706939E-2</v>
      </c>
      <c r="U223" s="87">
        <f>259.02+58+13502+9106</f>
        <v>22925.02</v>
      </c>
      <c r="V223" s="88">
        <f>U223/R223</f>
        <v>6.2759957402657135E-2</v>
      </c>
      <c r="W223" s="87">
        <f>259.02+58+13502+9106</f>
        <v>22925.02</v>
      </c>
      <c r="X223" s="89">
        <f>W223/R223</f>
        <v>6.2759957402657135E-2</v>
      </c>
      <c r="Y223" s="136"/>
    </row>
    <row r="224" spans="1:25" s="90" customFormat="1" ht="39" customHeight="1" x14ac:dyDescent="0.2">
      <c r="A224" s="123" t="s">
        <v>130</v>
      </c>
      <c r="B224" s="78" t="s">
        <v>131</v>
      </c>
      <c r="C224" s="79" t="s">
        <v>51</v>
      </c>
      <c r="D224" s="80" t="s">
        <v>194</v>
      </c>
      <c r="E224" s="81" t="s">
        <v>49</v>
      </c>
      <c r="F224" s="82" t="s">
        <v>195</v>
      </c>
      <c r="G224" s="83">
        <v>1</v>
      </c>
      <c r="H224" s="79" t="s">
        <v>134</v>
      </c>
      <c r="I224" s="129" t="s">
        <v>135</v>
      </c>
      <c r="J224" s="85">
        <v>4</v>
      </c>
      <c r="K224" s="86">
        <v>0</v>
      </c>
      <c r="L224" s="87">
        <f>137400</f>
        <v>137400</v>
      </c>
      <c r="M224" s="87">
        <v>0</v>
      </c>
      <c r="N224" s="86">
        <f>K224+L224-M224</f>
        <v>137400</v>
      </c>
      <c r="O224" s="87">
        <f>137400</f>
        <v>137400</v>
      </c>
      <c r="P224" s="87">
        <v>0</v>
      </c>
      <c r="Q224" s="87">
        <v>0</v>
      </c>
      <c r="R224" s="86">
        <f>N224-O224+P224+Q224</f>
        <v>0</v>
      </c>
      <c r="S224" s="87">
        <v>0</v>
      </c>
      <c r="T224" s="88">
        <v>0</v>
      </c>
      <c r="U224" s="87">
        <v>0</v>
      </c>
      <c r="V224" s="88">
        <v>0</v>
      </c>
      <c r="W224" s="87">
        <v>0</v>
      </c>
      <c r="X224" s="89">
        <v>0</v>
      </c>
      <c r="Y224" s="136"/>
    </row>
    <row r="225" spans="1:25" s="65" customFormat="1" ht="9" customHeight="1" x14ac:dyDescent="0.2">
      <c r="A225" s="134"/>
      <c r="B225" s="92"/>
      <c r="C225" s="93"/>
      <c r="D225" s="94"/>
      <c r="E225" s="95"/>
      <c r="F225" s="96"/>
      <c r="G225" s="97"/>
      <c r="H225" s="93"/>
      <c r="I225" s="98"/>
      <c r="J225" s="99"/>
      <c r="K225" s="101"/>
      <c r="L225" s="101"/>
      <c r="M225" s="101"/>
      <c r="N225" s="101"/>
      <c r="O225" s="101"/>
      <c r="P225" s="101"/>
      <c r="Q225" s="101"/>
      <c r="R225" s="101"/>
      <c r="S225" s="101"/>
      <c r="T225" s="102"/>
      <c r="U225" s="101"/>
      <c r="V225" s="102"/>
      <c r="W225" s="101"/>
      <c r="X225" s="103"/>
    </row>
    <row r="226" spans="1:25" s="76" customFormat="1" ht="39" customHeight="1" x14ac:dyDescent="0.2">
      <c r="A226" s="130" t="s">
        <v>130</v>
      </c>
      <c r="B226" s="105" t="s">
        <v>138</v>
      </c>
      <c r="C226" s="106"/>
      <c r="D226" s="107" t="s">
        <v>196</v>
      </c>
      <c r="E226" s="108" t="s">
        <v>49</v>
      </c>
      <c r="F226" s="105" t="s">
        <v>197</v>
      </c>
      <c r="G226" s="109"/>
      <c r="H226" s="109"/>
      <c r="I226" s="109"/>
      <c r="J226" s="106"/>
      <c r="K226" s="138">
        <f>SUM(K227:K228)</f>
        <v>1502000</v>
      </c>
      <c r="L226" s="138">
        <f t="shared" ref="L226:S226" si="123">SUM(L227:L228)</f>
        <v>105000</v>
      </c>
      <c r="M226" s="138">
        <f t="shared" si="123"/>
        <v>0</v>
      </c>
      <c r="N226" s="138">
        <f t="shared" si="123"/>
        <v>1607000</v>
      </c>
      <c r="O226" s="138">
        <f t="shared" si="123"/>
        <v>152091.82</v>
      </c>
      <c r="P226" s="138">
        <f t="shared" si="123"/>
        <v>0</v>
      </c>
      <c r="Q226" s="138">
        <f t="shared" si="123"/>
        <v>0</v>
      </c>
      <c r="R226" s="138">
        <f t="shared" si="123"/>
        <v>1454908.18</v>
      </c>
      <c r="S226" s="138">
        <f t="shared" si="123"/>
        <v>768766.6</v>
      </c>
      <c r="T226" s="111">
        <f>S226/R226</f>
        <v>0.52839526959014005</v>
      </c>
      <c r="U226" s="138">
        <f>SUM(U227:U228)</f>
        <v>702315.68110000005</v>
      </c>
      <c r="V226" s="111">
        <f>U226/R226</f>
        <v>0.48272165264752315</v>
      </c>
      <c r="W226" s="138">
        <f>SUM(W227:W228)</f>
        <v>702315.68</v>
      </c>
      <c r="X226" s="112">
        <f>W226/R226</f>
        <v>0.48272165189146171</v>
      </c>
      <c r="Y226" s="75"/>
    </row>
    <row r="227" spans="1:25" s="90" customFormat="1" ht="39" customHeight="1" x14ac:dyDescent="0.2">
      <c r="A227" s="123" t="s">
        <v>130</v>
      </c>
      <c r="B227" s="78" t="s">
        <v>131</v>
      </c>
      <c r="C227" s="79" t="s">
        <v>51</v>
      </c>
      <c r="D227" s="80" t="s">
        <v>196</v>
      </c>
      <c r="E227" s="81" t="s">
        <v>49</v>
      </c>
      <c r="F227" s="82" t="s">
        <v>197</v>
      </c>
      <c r="G227" s="83">
        <v>1</v>
      </c>
      <c r="H227" s="79" t="s">
        <v>134</v>
      </c>
      <c r="I227" s="129" t="s">
        <v>135</v>
      </c>
      <c r="J227" s="127">
        <v>3</v>
      </c>
      <c r="K227" s="87">
        <v>1502000</v>
      </c>
      <c r="L227" s="87">
        <f>100000</f>
        <v>100000</v>
      </c>
      <c r="M227" s="87">
        <v>0</v>
      </c>
      <c r="N227" s="87">
        <f>K227+L227-M227</f>
        <v>1602000</v>
      </c>
      <c r="O227" s="87">
        <f>152091.82</f>
        <v>152091.82</v>
      </c>
      <c r="P227" s="87">
        <v>0</v>
      </c>
      <c r="Q227" s="87">
        <v>0</v>
      </c>
      <c r="R227" s="87">
        <f>N227-O227+P227+Q227</f>
        <v>1449908.18</v>
      </c>
      <c r="S227" s="87">
        <f>129439.06+157680.85+243121.79+9335.75+24992.75+15626.59+9131.23+17543.99+47141.97+110882.62</f>
        <v>764896.6</v>
      </c>
      <c r="T227" s="88">
        <f>S227/R227</f>
        <v>0.52754830309323453</v>
      </c>
      <c r="U227" s="87">
        <f>111624.8611+167456.01+179106.88+21614.74+42253.55+4366.84+21324.09+2418.17+55390.69+93889.85</f>
        <v>699445.68110000005</v>
      </c>
      <c r="V227" s="88">
        <f>U227/R227</f>
        <v>0.48240687979289837</v>
      </c>
      <c r="W227" s="87">
        <f>65712.31+212279.29+179358.88+21614.74+42120.44+5337.22+20920.89+2821.37+55390.69+93889.85</f>
        <v>699445.68</v>
      </c>
      <c r="X227" s="89">
        <f>W227/R227</f>
        <v>0.48240687903422969</v>
      </c>
      <c r="Y227" s="65"/>
    </row>
    <row r="228" spans="1:25" s="90" customFormat="1" ht="39" customHeight="1" x14ac:dyDescent="0.2">
      <c r="A228" s="123" t="s">
        <v>130</v>
      </c>
      <c r="B228" s="78" t="s">
        <v>131</v>
      </c>
      <c r="C228" s="79" t="s">
        <v>51</v>
      </c>
      <c r="D228" s="80" t="s">
        <v>196</v>
      </c>
      <c r="E228" s="81" t="s">
        <v>49</v>
      </c>
      <c r="F228" s="82" t="s">
        <v>197</v>
      </c>
      <c r="G228" s="83">
        <v>1</v>
      </c>
      <c r="H228" s="131" t="s">
        <v>141</v>
      </c>
      <c r="I228" s="132" t="s">
        <v>142</v>
      </c>
      <c r="J228" s="127">
        <v>3</v>
      </c>
      <c r="K228" s="87">
        <v>0</v>
      </c>
      <c r="L228" s="87">
        <f>5000</f>
        <v>5000</v>
      </c>
      <c r="M228" s="87">
        <v>0</v>
      </c>
      <c r="N228" s="87">
        <f>K228+L228-M228</f>
        <v>5000</v>
      </c>
      <c r="O228" s="87">
        <f>3800-3800</f>
        <v>0</v>
      </c>
      <c r="P228" s="87">
        <v>0</v>
      </c>
      <c r="Q228" s="87">
        <v>0</v>
      </c>
      <c r="R228" s="87">
        <f>N228-O228+P228+Q228</f>
        <v>5000</v>
      </c>
      <c r="S228" s="87">
        <f>1200+2670</f>
        <v>3870</v>
      </c>
      <c r="T228" s="88">
        <f>S228/R228</f>
        <v>0.77400000000000002</v>
      </c>
      <c r="U228" s="87">
        <f>1200+1670</f>
        <v>2870</v>
      </c>
      <c r="V228" s="88">
        <f>U228/R228</f>
        <v>0.57399999999999995</v>
      </c>
      <c r="W228" s="87">
        <f>696+504+1670</f>
        <v>2870</v>
      </c>
      <c r="X228" s="89">
        <f>W228/R228</f>
        <v>0.57399999999999995</v>
      </c>
      <c r="Y228" s="65"/>
    </row>
    <row r="229" spans="1:25" s="65" customFormat="1" ht="9" customHeight="1" x14ac:dyDescent="0.2">
      <c r="A229" s="134"/>
      <c r="B229" s="92"/>
      <c r="C229" s="93"/>
      <c r="D229" s="94"/>
      <c r="E229" s="95"/>
      <c r="F229" s="96"/>
      <c r="G229" s="97"/>
      <c r="H229" s="93"/>
      <c r="I229" s="98"/>
      <c r="J229" s="99"/>
      <c r="K229" s="101"/>
      <c r="L229" s="101"/>
      <c r="M229" s="101"/>
      <c r="N229" s="101"/>
      <c r="O229" s="101"/>
      <c r="P229" s="101"/>
      <c r="Q229" s="101"/>
      <c r="R229" s="101"/>
      <c r="S229" s="101"/>
      <c r="T229" s="102"/>
      <c r="U229" s="101"/>
      <c r="V229" s="102"/>
      <c r="W229" s="101"/>
      <c r="X229" s="103"/>
    </row>
    <row r="230" spans="1:25" s="76" customFormat="1" ht="39" customHeight="1" x14ac:dyDescent="0.2">
      <c r="A230" s="130" t="s">
        <v>130</v>
      </c>
      <c r="B230" s="105" t="s">
        <v>138</v>
      </c>
      <c r="C230" s="106"/>
      <c r="D230" s="107" t="s">
        <v>198</v>
      </c>
      <c r="E230" s="108" t="s">
        <v>49</v>
      </c>
      <c r="F230" s="105" t="s">
        <v>199</v>
      </c>
      <c r="G230" s="109"/>
      <c r="H230" s="109"/>
      <c r="I230" s="109"/>
      <c r="J230" s="106"/>
      <c r="K230" s="110">
        <f>K231</f>
        <v>10700</v>
      </c>
      <c r="L230" s="110">
        <f t="shared" ref="L230:S230" si="124">L231</f>
        <v>0</v>
      </c>
      <c r="M230" s="110">
        <f t="shared" si="124"/>
        <v>0</v>
      </c>
      <c r="N230" s="110">
        <f t="shared" si="124"/>
        <v>10700</v>
      </c>
      <c r="O230" s="110">
        <f t="shared" si="124"/>
        <v>0</v>
      </c>
      <c r="P230" s="110">
        <f t="shared" si="124"/>
        <v>0</v>
      </c>
      <c r="Q230" s="110">
        <f t="shared" si="124"/>
        <v>0</v>
      </c>
      <c r="R230" s="110">
        <f t="shared" si="124"/>
        <v>10700</v>
      </c>
      <c r="S230" s="110">
        <f t="shared" si="124"/>
        <v>9199.44</v>
      </c>
      <c r="T230" s="111">
        <f>S230/R230</f>
        <v>0.85976074766355148</v>
      </c>
      <c r="U230" s="110">
        <f>U231</f>
        <v>9199.44</v>
      </c>
      <c r="V230" s="111">
        <f>U230/R230</f>
        <v>0.85976074766355148</v>
      </c>
      <c r="W230" s="110">
        <f>W231</f>
        <v>9199.44</v>
      </c>
      <c r="X230" s="112">
        <f>W230/R230</f>
        <v>0.85976074766355148</v>
      </c>
      <c r="Y230" s="75"/>
    </row>
    <row r="231" spans="1:25" s="90" customFormat="1" ht="39" customHeight="1" x14ac:dyDescent="0.2">
      <c r="A231" s="123" t="s">
        <v>130</v>
      </c>
      <c r="B231" s="78" t="s">
        <v>131</v>
      </c>
      <c r="C231" s="79" t="s">
        <v>75</v>
      </c>
      <c r="D231" s="80" t="s">
        <v>198</v>
      </c>
      <c r="E231" s="81" t="s">
        <v>49</v>
      </c>
      <c r="F231" s="82" t="s">
        <v>199</v>
      </c>
      <c r="G231" s="83">
        <v>1</v>
      </c>
      <c r="H231" s="79" t="s">
        <v>134</v>
      </c>
      <c r="I231" s="129" t="s">
        <v>135</v>
      </c>
      <c r="J231" s="85">
        <v>3</v>
      </c>
      <c r="K231" s="86">
        <v>10700</v>
      </c>
      <c r="L231" s="87">
        <v>0</v>
      </c>
      <c r="M231" s="87">
        <v>0</v>
      </c>
      <c r="N231" s="86">
        <f>K231+L231-M231</f>
        <v>10700</v>
      </c>
      <c r="O231" s="87">
        <v>0</v>
      </c>
      <c r="P231" s="87">
        <v>0</v>
      </c>
      <c r="Q231" s="87">
        <v>0</v>
      </c>
      <c r="R231" s="86">
        <f>N231-O231+P231+Q231</f>
        <v>10700</v>
      </c>
      <c r="S231" s="87">
        <f>9199.44</f>
        <v>9199.44</v>
      </c>
      <c r="T231" s="88">
        <f>S231/R231</f>
        <v>0.85976074766355148</v>
      </c>
      <c r="U231" s="87">
        <f>9199.44</f>
        <v>9199.44</v>
      </c>
      <c r="V231" s="88">
        <f>U231/R231</f>
        <v>0.85976074766355148</v>
      </c>
      <c r="W231" s="87">
        <f>9199.44</f>
        <v>9199.44</v>
      </c>
      <c r="X231" s="89">
        <f>W231/R231</f>
        <v>0.85976074766355148</v>
      </c>
      <c r="Y231" s="65"/>
    </row>
    <row r="232" spans="1:25" s="65" customFormat="1" ht="9" customHeight="1" x14ac:dyDescent="0.2">
      <c r="A232" s="134"/>
      <c r="B232" s="92"/>
      <c r="C232" s="93"/>
      <c r="D232" s="94"/>
      <c r="E232" s="95"/>
      <c r="F232" s="96"/>
      <c r="G232" s="97"/>
      <c r="H232" s="93"/>
      <c r="I232" s="98"/>
      <c r="J232" s="99"/>
      <c r="K232" s="101"/>
      <c r="L232" s="101"/>
      <c r="M232" s="101"/>
      <c r="N232" s="101"/>
      <c r="O232" s="101"/>
      <c r="P232" s="101"/>
      <c r="Q232" s="101"/>
      <c r="R232" s="101"/>
      <c r="S232" s="101"/>
      <c r="T232" s="102"/>
      <c r="U232" s="101"/>
      <c r="V232" s="102"/>
      <c r="W232" s="101"/>
      <c r="X232" s="103"/>
    </row>
    <row r="233" spans="1:25" s="76" customFormat="1" ht="39" customHeight="1" x14ac:dyDescent="0.2">
      <c r="A233" s="130" t="s">
        <v>130</v>
      </c>
      <c r="B233" s="105" t="s">
        <v>138</v>
      </c>
      <c r="C233" s="106"/>
      <c r="D233" s="107" t="s">
        <v>200</v>
      </c>
      <c r="E233" s="108" t="s">
        <v>49</v>
      </c>
      <c r="F233" s="105" t="s">
        <v>201</v>
      </c>
      <c r="G233" s="109"/>
      <c r="H233" s="109"/>
      <c r="I233" s="109"/>
      <c r="J233" s="106"/>
      <c r="K233" s="110">
        <f>SUM(K234:K235)</f>
        <v>320000</v>
      </c>
      <c r="L233" s="110">
        <f t="shared" ref="L233:S233" si="125">SUM(L234:L235)</f>
        <v>1500000</v>
      </c>
      <c r="M233" s="110">
        <f t="shared" si="125"/>
        <v>350000</v>
      </c>
      <c r="N233" s="110">
        <f t="shared" si="125"/>
        <v>1470000</v>
      </c>
      <c r="O233" s="110">
        <f t="shared" si="125"/>
        <v>100000</v>
      </c>
      <c r="P233" s="110">
        <f t="shared" si="125"/>
        <v>0</v>
      </c>
      <c r="Q233" s="110">
        <f t="shared" si="125"/>
        <v>0</v>
      </c>
      <c r="R233" s="110">
        <f t="shared" si="125"/>
        <v>1370000</v>
      </c>
      <c r="S233" s="110">
        <f t="shared" si="125"/>
        <v>1050000</v>
      </c>
      <c r="T233" s="111">
        <f>S233/R233</f>
        <v>0.76642335766423353</v>
      </c>
      <c r="U233" s="110">
        <f>SUM(U234:U235)</f>
        <v>1050000</v>
      </c>
      <c r="V233" s="111">
        <f>U233/R233</f>
        <v>0.76642335766423353</v>
      </c>
      <c r="W233" s="110">
        <f>SUM(W234:W235)</f>
        <v>1050000</v>
      </c>
      <c r="X233" s="112">
        <f>W233/R233</f>
        <v>0.76642335766423353</v>
      </c>
      <c r="Y233" s="75"/>
    </row>
    <row r="234" spans="1:25" s="90" customFormat="1" ht="39" customHeight="1" x14ac:dyDescent="0.2">
      <c r="A234" s="123" t="s">
        <v>130</v>
      </c>
      <c r="B234" s="78" t="s">
        <v>131</v>
      </c>
      <c r="C234" s="79" t="s">
        <v>75</v>
      </c>
      <c r="D234" s="80" t="s">
        <v>200</v>
      </c>
      <c r="E234" s="81" t="s">
        <v>49</v>
      </c>
      <c r="F234" s="82" t="s">
        <v>201</v>
      </c>
      <c r="G234" s="83">
        <v>1</v>
      </c>
      <c r="H234" s="79" t="s">
        <v>134</v>
      </c>
      <c r="I234" s="129" t="s">
        <v>135</v>
      </c>
      <c r="J234" s="85">
        <v>3</v>
      </c>
      <c r="K234" s="86">
        <v>320000</v>
      </c>
      <c r="L234" s="87">
        <f>350000</f>
        <v>350000</v>
      </c>
      <c r="M234" s="87">
        <v>0</v>
      </c>
      <c r="N234" s="86">
        <f>K234+L234-M234</f>
        <v>670000</v>
      </c>
      <c r="O234" s="87">
        <v>0</v>
      </c>
      <c r="P234" s="87">
        <v>0</v>
      </c>
      <c r="Q234" s="87">
        <v>0</v>
      </c>
      <c r="R234" s="86">
        <f>N234-O234+P234+Q234</f>
        <v>670000</v>
      </c>
      <c r="S234" s="87">
        <f>350000</f>
        <v>350000</v>
      </c>
      <c r="T234" s="88">
        <f>S234/R234</f>
        <v>0.52238805970149249</v>
      </c>
      <c r="U234" s="87">
        <f>350000</f>
        <v>350000</v>
      </c>
      <c r="V234" s="88">
        <f>U234/R234</f>
        <v>0.52238805970149249</v>
      </c>
      <c r="W234" s="87">
        <f>350000</f>
        <v>350000</v>
      </c>
      <c r="X234" s="89">
        <f>W234/R234</f>
        <v>0.52238805970149249</v>
      </c>
      <c r="Y234" s="65"/>
    </row>
    <row r="235" spans="1:25" s="90" customFormat="1" ht="39" customHeight="1" x14ac:dyDescent="0.2">
      <c r="A235" s="123" t="s">
        <v>130</v>
      </c>
      <c r="B235" s="78" t="s">
        <v>131</v>
      </c>
      <c r="C235" s="79" t="s">
        <v>75</v>
      </c>
      <c r="D235" s="80" t="s">
        <v>200</v>
      </c>
      <c r="E235" s="81" t="s">
        <v>49</v>
      </c>
      <c r="F235" s="82" t="s">
        <v>201</v>
      </c>
      <c r="G235" s="83">
        <v>1</v>
      </c>
      <c r="H235" s="131" t="s">
        <v>143</v>
      </c>
      <c r="I235" s="133" t="s">
        <v>144</v>
      </c>
      <c r="J235" s="85">
        <v>3</v>
      </c>
      <c r="K235" s="86">
        <v>0</v>
      </c>
      <c r="L235" s="87">
        <f>1150000</f>
        <v>1150000</v>
      </c>
      <c r="M235" s="87">
        <f>350000</f>
        <v>350000</v>
      </c>
      <c r="N235" s="86">
        <f>K235+L235-M235</f>
        <v>800000</v>
      </c>
      <c r="O235" s="87">
        <f>100000</f>
        <v>100000</v>
      </c>
      <c r="P235" s="87">
        <v>0</v>
      </c>
      <c r="Q235" s="87">
        <v>0</v>
      </c>
      <c r="R235" s="86">
        <f>N235-O235+P235+Q235</f>
        <v>700000</v>
      </c>
      <c r="S235" s="87">
        <f>350000+350000</f>
        <v>700000</v>
      </c>
      <c r="T235" s="88">
        <f>S235/R235</f>
        <v>1</v>
      </c>
      <c r="U235" s="87">
        <f>350000+350000</f>
        <v>700000</v>
      </c>
      <c r="V235" s="88">
        <f>U235/R235</f>
        <v>1</v>
      </c>
      <c r="W235" s="87">
        <f>350000+350000</f>
        <v>700000</v>
      </c>
      <c r="X235" s="89">
        <f>W235/R235</f>
        <v>1</v>
      </c>
      <c r="Y235" s="65"/>
    </row>
    <row r="236" spans="1:25" s="65" customFormat="1" ht="9" customHeight="1" x14ac:dyDescent="0.2">
      <c r="A236" s="134"/>
      <c r="B236" s="92"/>
      <c r="C236" s="93"/>
      <c r="D236" s="94"/>
      <c r="E236" s="95"/>
      <c r="F236" s="96"/>
      <c r="G236" s="97"/>
      <c r="H236" s="93"/>
      <c r="I236" s="98"/>
      <c r="J236" s="99"/>
      <c r="K236" s="101"/>
      <c r="L236" s="101"/>
      <c r="M236" s="101"/>
      <c r="N236" s="101"/>
      <c r="O236" s="101"/>
      <c r="P236" s="101"/>
      <c r="Q236" s="101"/>
      <c r="R236" s="101"/>
      <c r="S236" s="101"/>
      <c r="T236" s="102"/>
      <c r="U236" s="101"/>
      <c r="V236" s="102"/>
      <c r="W236" s="101"/>
      <c r="X236" s="103"/>
    </row>
    <row r="237" spans="1:25" s="76" customFormat="1" ht="39" customHeight="1" x14ac:dyDescent="0.2">
      <c r="A237" s="130" t="s">
        <v>130</v>
      </c>
      <c r="B237" s="105" t="s">
        <v>138</v>
      </c>
      <c r="C237" s="106"/>
      <c r="D237" s="107" t="s">
        <v>202</v>
      </c>
      <c r="E237" s="108" t="s">
        <v>73</v>
      </c>
      <c r="F237" s="105" t="s">
        <v>203</v>
      </c>
      <c r="G237" s="109"/>
      <c r="H237" s="109"/>
      <c r="I237" s="109"/>
      <c r="J237" s="106"/>
      <c r="K237" s="110">
        <f t="shared" ref="K237:U237" si="126">SUM(K238:K239)</f>
        <v>34684300</v>
      </c>
      <c r="L237" s="110">
        <f t="shared" si="126"/>
        <v>865645</v>
      </c>
      <c r="M237" s="110">
        <f t="shared" si="126"/>
        <v>837400</v>
      </c>
      <c r="N237" s="110">
        <f t="shared" si="126"/>
        <v>34712545</v>
      </c>
      <c r="O237" s="110">
        <f t="shared" si="126"/>
        <v>62172.2</v>
      </c>
      <c r="P237" s="110">
        <f t="shared" si="126"/>
        <v>0</v>
      </c>
      <c r="Q237" s="110">
        <f t="shared" si="126"/>
        <v>0</v>
      </c>
      <c r="R237" s="110">
        <f t="shared" si="126"/>
        <v>34650372.799999997</v>
      </c>
      <c r="S237" s="110">
        <f t="shared" si="126"/>
        <v>21280377.690000001</v>
      </c>
      <c r="T237" s="111">
        <f t="shared" ref="T237:T239" si="127">S237/R237</f>
        <v>0.61414570668053547</v>
      </c>
      <c r="U237" s="110">
        <f t="shared" si="126"/>
        <v>18963585.370000001</v>
      </c>
      <c r="V237" s="111">
        <f>U237/R237</f>
        <v>0.54728373283187315</v>
      </c>
      <c r="W237" s="110">
        <f>SUM(W238:W239)</f>
        <v>17904525.890000001</v>
      </c>
      <c r="X237" s="112">
        <f>W237/R237</f>
        <v>0.51671957451493866</v>
      </c>
      <c r="Y237" s="75"/>
    </row>
    <row r="238" spans="1:25" s="90" customFormat="1" ht="39" customHeight="1" x14ac:dyDescent="0.2">
      <c r="A238" s="123" t="s">
        <v>130</v>
      </c>
      <c r="B238" s="78" t="s">
        <v>131</v>
      </c>
      <c r="C238" s="79" t="s">
        <v>75</v>
      </c>
      <c r="D238" s="80" t="s">
        <v>202</v>
      </c>
      <c r="E238" s="81" t="s">
        <v>73</v>
      </c>
      <c r="F238" s="82" t="s">
        <v>203</v>
      </c>
      <c r="G238" s="83">
        <v>1</v>
      </c>
      <c r="H238" s="79" t="s">
        <v>134</v>
      </c>
      <c r="I238" s="129" t="s">
        <v>135</v>
      </c>
      <c r="J238" s="85">
        <v>3</v>
      </c>
      <c r="K238" s="86">
        <v>34684300</v>
      </c>
      <c r="L238" s="87">
        <f>58200</f>
        <v>58200</v>
      </c>
      <c r="M238" s="87">
        <f>350000+137400</f>
        <v>487400</v>
      </c>
      <c r="N238" s="86">
        <f>K238+L238-M238</f>
        <v>34255100</v>
      </c>
      <c r="O238" s="87">
        <v>0</v>
      </c>
      <c r="P238" s="87">
        <v>0</v>
      </c>
      <c r="Q238" s="87">
        <v>0</v>
      </c>
      <c r="R238" s="86">
        <f>N238-O238+P238+Q238</f>
        <v>34255100</v>
      </c>
      <c r="S238" s="87">
        <f>2412632.92+1435931.5+2417976.79+2463161.19+1054702.42+908430.59+2140979.46+1424487.53+1858004.24+4768798.25</f>
        <v>20885104.890000001</v>
      </c>
      <c r="T238" s="88">
        <f t="shared" si="127"/>
        <v>0.60969329793227867</v>
      </c>
      <c r="U238" s="87">
        <f>742802.81+1774110.83+2709872.06+1931978.75+1359054.2+1699415.74+2025026.78+1042594.72+1922869.71+3360586.97</f>
        <v>18568312.57</v>
      </c>
      <c r="V238" s="88">
        <f>U238/R238</f>
        <v>0.54205979751920152</v>
      </c>
      <c r="W238" s="87">
        <f>656956.86+1642889.42+2748991.01+1906232.75+1562748.6+1677870+1845958.15+1156193.72+1930533.66+2380878.92</f>
        <v>17509253.09</v>
      </c>
      <c r="X238" s="89">
        <f>W238/R238</f>
        <v>0.51114295652326225</v>
      </c>
      <c r="Y238" s="65"/>
    </row>
    <row r="239" spans="1:25" s="90" customFormat="1" ht="39" customHeight="1" x14ac:dyDescent="0.2">
      <c r="A239" s="123" t="s">
        <v>130</v>
      </c>
      <c r="B239" s="78" t="s">
        <v>131</v>
      </c>
      <c r="C239" s="79" t="s">
        <v>75</v>
      </c>
      <c r="D239" s="80" t="s">
        <v>202</v>
      </c>
      <c r="E239" s="81" t="s">
        <v>73</v>
      </c>
      <c r="F239" s="82" t="s">
        <v>203</v>
      </c>
      <c r="G239" s="83">
        <v>1</v>
      </c>
      <c r="H239" s="131" t="s">
        <v>143</v>
      </c>
      <c r="I239" s="133" t="s">
        <v>144</v>
      </c>
      <c r="J239" s="85">
        <v>3</v>
      </c>
      <c r="K239" s="86">
        <v>0</v>
      </c>
      <c r="L239" s="87">
        <f>457445+350000</f>
        <v>807445</v>
      </c>
      <c r="M239" s="87">
        <f>350000</f>
        <v>350000</v>
      </c>
      <c r="N239" s="86">
        <f>K239+L239-M239</f>
        <v>457445</v>
      </c>
      <c r="O239" s="87">
        <f>62172.2</f>
        <v>62172.2</v>
      </c>
      <c r="P239" s="87">
        <v>0</v>
      </c>
      <c r="Q239" s="87">
        <v>0</v>
      </c>
      <c r="R239" s="86">
        <f>N239-O239+P239+Q239</f>
        <v>395272.8</v>
      </c>
      <c r="S239" s="87">
        <f>197636.4+197636.4</f>
        <v>395272.8</v>
      </c>
      <c r="T239" s="88">
        <f t="shared" si="127"/>
        <v>1</v>
      </c>
      <c r="U239" s="87">
        <f>197636.4+197636.4</f>
        <v>395272.8</v>
      </c>
      <c r="V239" s="88">
        <f>U239/R239</f>
        <v>1</v>
      </c>
      <c r="W239" s="87">
        <f>197636.4+197636.4</f>
        <v>395272.8</v>
      </c>
      <c r="X239" s="89">
        <f>W239/R239</f>
        <v>1</v>
      </c>
      <c r="Y239" s="65"/>
    </row>
    <row r="240" spans="1:25" s="65" customFormat="1" ht="9" customHeight="1" x14ac:dyDescent="0.2">
      <c r="A240" s="134"/>
      <c r="B240" s="92"/>
      <c r="C240" s="93"/>
      <c r="D240" s="94"/>
      <c r="E240" s="95"/>
      <c r="F240" s="96"/>
      <c r="G240" s="97"/>
      <c r="H240" s="93"/>
      <c r="I240" s="98"/>
      <c r="J240" s="99"/>
      <c r="K240" s="101"/>
      <c r="L240" s="101"/>
      <c r="M240" s="101"/>
      <c r="N240" s="101"/>
      <c r="O240" s="101"/>
      <c r="P240" s="101"/>
      <c r="Q240" s="101"/>
      <c r="R240" s="101"/>
      <c r="S240" s="101"/>
      <c r="T240" s="102"/>
      <c r="U240" s="101"/>
      <c r="V240" s="102"/>
      <c r="W240" s="101"/>
      <c r="X240" s="103"/>
    </row>
    <row r="241" spans="1:25" s="76" customFormat="1" ht="39" customHeight="1" x14ac:dyDescent="0.2">
      <c r="A241" s="130" t="s">
        <v>130</v>
      </c>
      <c r="B241" s="105" t="s">
        <v>138</v>
      </c>
      <c r="C241" s="106"/>
      <c r="D241" s="107" t="s">
        <v>204</v>
      </c>
      <c r="E241" s="108" t="s">
        <v>73</v>
      </c>
      <c r="F241" s="105" t="s">
        <v>74</v>
      </c>
      <c r="G241" s="109"/>
      <c r="H241" s="109"/>
      <c r="I241" s="109"/>
      <c r="J241" s="106"/>
      <c r="K241" s="110">
        <f>SUM(K242:K242)</f>
        <v>9273994</v>
      </c>
      <c r="L241" s="110">
        <f t="shared" ref="L241:S241" si="128">SUM(L242:L242)</f>
        <v>830000</v>
      </c>
      <c r="M241" s="110">
        <f t="shared" si="128"/>
        <v>150000</v>
      </c>
      <c r="N241" s="110">
        <f>SUM(N242:N242)</f>
        <v>9953994</v>
      </c>
      <c r="O241" s="110">
        <f t="shared" si="128"/>
        <v>0</v>
      </c>
      <c r="P241" s="110">
        <f t="shared" si="128"/>
        <v>0</v>
      </c>
      <c r="Q241" s="110">
        <f t="shared" si="128"/>
        <v>0</v>
      </c>
      <c r="R241" s="110">
        <f t="shared" si="128"/>
        <v>9953994</v>
      </c>
      <c r="S241" s="110">
        <f t="shared" si="128"/>
        <v>7112384.0300000003</v>
      </c>
      <c r="T241" s="111">
        <f>S241/R241</f>
        <v>0.71452564970402843</v>
      </c>
      <c r="U241" s="110">
        <f>SUM(U242:U242)</f>
        <v>7096381.1100000003</v>
      </c>
      <c r="V241" s="111">
        <f>U241/R241</f>
        <v>0.71291796137309305</v>
      </c>
      <c r="W241" s="110">
        <f>SUM(W242:W242)</f>
        <v>7096381.1100000003</v>
      </c>
      <c r="X241" s="112">
        <f>W241/R241</f>
        <v>0.71291796137309305</v>
      </c>
      <c r="Y241" s="75"/>
    </row>
    <row r="242" spans="1:25" s="90" customFormat="1" ht="39" customHeight="1" x14ac:dyDescent="0.2">
      <c r="A242" s="123" t="s">
        <v>130</v>
      </c>
      <c r="B242" s="78" t="s">
        <v>131</v>
      </c>
      <c r="C242" s="79" t="s">
        <v>75</v>
      </c>
      <c r="D242" s="80" t="s">
        <v>204</v>
      </c>
      <c r="E242" s="81" t="s">
        <v>73</v>
      </c>
      <c r="F242" s="82" t="s">
        <v>74</v>
      </c>
      <c r="G242" s="83">
        <v>1</v>
      </c>
      <c r="H242" s="79" t="s">
        <v>134</v>
      </c>
      <c r="I242" s="129" t="s">
        <v>135</v>
      </c>
      <c r="J242" s="85">
        <v>3</v>
      </c>
      <c r="K242" s="86">
        <v>9273994</v>
      </c>
      <c r="L242" s="87">
        <f>830000</f>
        <v>830000</v>
      </c>
      <c r="M242" s="87">
        <f>150000</f>
        <v>150000</v>
      </c>
      <c r="N242" s="86">
        <f>K242+L242-M242</f>
        <v>9953994</v>
      </c>
      <c r="O242" s="87">
        <v>0</v>
      </c>
      <c r="P242" s="87">
        <v>0</v>
      </c>
      <c r="Q242" s="87">
        <v>0</v>
      </c>
      <c r="R242" s="86">
        <f>N242-O242+P242+Q242</f>
        <v>9953994</v>
      </c>
      <c r="S242" s="87">
        <f>741834.46+350163.83+604000+350000+1330669.55+427389.32+288324.75+880536.8+876293.57+1263171.75</f>
        <v>7112384.0300000003</v>
      </c>
      <c r="T242" s="88">
        <f>S242/R242</f>
        <v>0.71452564970402843</v>
      </c>
      <c r="U242" s="87">
        <f>290834.46+313692.43+735588.83+331500.5+1083985.09+1032452.93+288324.75+880536.8+876293.57+1263171.75</f>
        <v>7096381.1100000003</v>
      </c>
      <c r="V242" s="88">
        <f>U242/R242</f>
        <v>0.71291796137309305</v>
      </c>
      <c r="W242" s="87">
        <f>604526.89+735588.83+331500.5+1083985.09+1032452.93+288324.75+880536.8+876293.57+1263171.75</f>
        <v>7096381.1100000003</v>
      </c>
      <c r="X242" s="89">
        <f>W242/R242</f>
        <v>0.71291796137309305</v>
      </c>
      <c r="Y242" s="65"/>
    </row>
    <row r="243" spans="1:25" s="65" customFormat="1" ht="9" customHeight="1" x14ac:dyDescent="0.2">
      <c r="A243" s="134"/>
      <c r="B243" s="92"/>
      <c r="C243" s="93"/>
      <c r="D243" s="94"/>
      <c r="E243" s="95"/>
      <c r="F243" s="96"/>
      <c r="G243" s="97"/>
      <c r="H243" s="93"/>
      <c r="I243" s="98"/>
      <c r="J243" s="99"/>
      <c r="K243" s="101"/>
      <c r="L243" s="101"/>
      <c r="M243" s="101"/>
      <c r="N243" s="101"/>
      <c r="O243" s="101"/>
      <c r="P243" s="101"/>
      <c r="Q243" s="101"/>
      <c r="R243" s="101"/>
      <c r="S243" s="101"/>
      <c r="T243" s="102"/>
      <c r="U243" s="101"/>
      <c r="V243" s="102"/>
      <c r="W243" s="101"/>
      <c r="X243" s="103"/>
    </row>
    <row r="244" spans="1:25" s="76" customFormat="1" ht="39" customHeight="1" x14ac:dyDescent="0.2">
      <c r="A244" s="130" t="s">
        <v>130</v>
      </c>
      <c r="B244" s="105" t="s">
        <v>138</v>
      </c>
      <c r="C244" s="106"/>
      <c r="D244" s="107" t="s">
        <v>205</v>
      </c>
      <c r="E244" s="108" t="s">
        <v>73</v>
      </c>
      <c r="F244" s="105" t="s">
        <v>206</v>
      </c>
      <c r="G244" s="109"/>
      <c r="H244" s="109"/>
      <c r="I244" s="109"/>
      <c r="J244" s="106"/>
      <c r="K244" s="110">
        <f>SUM(K245:K245)</f>
        <v>423202</v>
      </c>
      <c r="L244" s="110">
        <f t="shared" ref="L244:S244" si="129">SUM(L245:L245)</f>
        <v>50000</v>
      </c>
      <c r="M244" s="110">
        <f t="shared" si="129"/>
        <v>0</v>
      </c>
      <c r="N244" s="110">
        <f>SUM(N245:N245)</f>
        <v>473202</v>
      </c>
      <c r="O244" s="110">
        <f t="shared" si="129"/>
        <v>0</v>
      </c>
      <c r="P244" s="110">
        <f t="shared" si="129"/>
        <v>0</v>
      </c>
      <c r="Q244" s="110">
        <f t="shared" si="129"/>
        <v>0</v>
      </c>
      <c r="R244" s="110">
        <f t="shared" si="129"/>
        <v>473202</v>
      </c>
      <c r="S244" s="110">
        <f t="shared" si="129"/>
        <v>260180.16000000003</v>
      </c>
      <c r="T244" s="111">
        <f>S244/R244</f>
        <v>0.5498289525403528</v>
      </c>
      <c r="U244" s="110">
        <f>SUM(U245:U245)</f>
        <v>258415.77000000002</v>
      </c>
      <c r="V244" s="111">
        <f>U244/R244</f>
        <v>0.54610033347280873</v>
      </c>
      <c r="W244" s="110">
        <f>SUM(W245:W245)</f>
        <v>258415.77000000002</v>
      </c>
      <c r="X244" s="112">
        <f>W244/R244</f>
        <v>0.54610033347280873</v>
      </c>
      <c r="Y244" s="75"/>
    </row>
    <row r="245" spans="1:25" s="90" customFormat="1" ht="39" customHeight="1" x14ac:dyDescent="0.2">
      <c r="A245" s="123" t="s">
        <v>130</v>
      </c>
      <c r="B245" s="78" t="s">
        <v>131</v>
      </c>
      <c r="C245" s="79" t="s">
        <v>75</v>
      </c>
      <c r="D245" s="80" t="s">
        <v>205</v>
      </c>
      <c r="E245" s="81" t="s">
        <v>73</v>
      </c>
      <c r="F245" s="82" t="s">
        <v>79</v>
      </c>
      <c r="G245" s="83">
        <v>1</v>
      </c>
      <c r="H245" s="79" t="s">
        <v>134</v>
      </c>
      <c r="I245" s="129" t="s">
        <v>135</v>
      </c>
      <c r="J245" s="85">
        <v>3</v>
      </c>
      <c r="K245" s="86">
        <v>423202</v>
      </c>
      <c r="L245" s="87">
        <f>50000</f>
        <v>50000</v>
      </c>
      <c r="M245" s="87">
        <v>0</v>
      </c>
      <c r="N245" s="86">
        <f>K245+L245-M245</f>
        <v>473202</v>
      </c>
      <c r="O245" s="87">
        <v>0</v>
      </c>
      <c r="P245" s="87">
        <v>0</v>
      </c>
      <c r="Q245" s="87">
        <v>0</v>
      </c>
      <c r="R245" s="86">
        <f>N245-O245+P245+Q245</f>
        <v>473202</v>
      </c>
      <c r="S245" s="87">
        <f>38737.38+8918.03+15000+15000+34789.1+11356.85+15306+30688.85+33715.04+56668.91</f>
        <v>260180.16000000003</v>
      </c>
      <c r="T245" s="88">
        <f>S245/R245</f>
        <v>0.5498289525403528</v>
      </c>
      <c r="U245" s="87">
        <f>7737.38+15610.41+8918.03+17696.4+36713.17+35361.58+15306+30688.85+33715.04+56668.91</f>
        <v>258415.77000000002</v>
      </c>
      <c r="V245" s="88">
        <f>U245/R245</f>
        <v>0.54610033347280873</v>
      </c>
      <c r="W245" s="87">
        <f>23347.79+8918.03+17696.4+36713.17+35361.58+15306+30688.85+33715.04+56668.91</f>
        <v>258415.77000000002</v>
      </c>
      <c r="X245" s="89">
        <f>W245/R245</f>
        <v>0.54610033347280873</v>
      </c>
      <c r="Y245" s="65"/>
    </row>
    <row r="246" spans="1:25" s="65" customFormat="1" ht="9" customHeight="1" x14ac:dyDescent="0.2">
      <c r="A246" s="91"/>
      <c r="B246" s="92"/>
      <c r="C246" s="93"/>
      <c r="D246" s="94"/>
      <c r="E246" s="95"/>
      <c r="F246" s="96"/>
      <c r="G246" s="97"/>
      <c r="H246" s="93"/>
      <c r="I246" s="98"/>
      <c r="J246" s="99"/>
      <c r="K246" s="100"/>
      <c r="L246" s="101"/>
      <c r="M246" s="101"/>
      <c r="N246" s="100"/>
      <c r="O246" s="101"/>
      <c r="P246" s="101"/>
      <c r="Q246" s="101"/>
      <c r="R246" s="100"/>
      <c r="S246" s="101"/>
      <c r="T246" s="102"/>
      <c r="U246" s="101"/>
      <c r="V246" s="102"/>
      <c r="W246" s="101"/>
      <c r="X246" s="103"/>
    </row>
    <row r="247" spans="1:25" s="76" customFormat="1" ht="39" customHeight="1" x14ac:dyDescent="0.2">
      <c r="A247" s="130" t="s">
        <v>130</v>
      </c>
      <c r="B247" s="105" t="s">
        <v>138</v>
      </c>
      <c r="C247" s="106"/>
      <c r="D247" s="107" t="s">
        <v>207</v>
      </c>
      <c r="E247" s="108" t="s">
        <v>73</v>
      </c>
      <c r="F247" s="105" t="s">
        <v>81</v>
      </c>
      <c r="G247" s="109"/>
      <c r="H247" s="109"/>
      <c r="I247" s="109"/>
      <c r="J247" s="106"/>
      <c r="K247" s="110">
        <f>SUM(K248:K248)</f>
        <v>396117</v>
      </c>
      <c r="L247" s="110">
        <f t="shared" ref="L247:S247" si="130">SUM(L248:L248)</f>
        <v>10000</v>
      </c>
      <c r="M247" s="110">
        <f t="shared" si="130"/>
        <v>0</v>
      </c>
      <c r="N247" s="110">
        <f>SUM(N248:N248)</f>
        <v>406117</v>
      </c>
      <c r="O247" s="110">
        <f t="shared" si="130"/>
        <v>0</v>
      </c>
      <c r="P247" s="110">
        <f t="shared" si="130"/>
        <v>0</v>
      </c>
      <c r="Q247" s="110">
        <f t="shared" si="130"/>
        <v>0</v>
      </c>
      <c r="R247" s="110">
        <f t="shared" si="130"/>
        <v>406117</v>
      </c>
      <c r="S247" s="110">
        <f t="shared" si="130"/>
        <v>282292.72000000003</v>
      </c>
      <c r="T247" s="111">
        <f>S247/R247</f>
        <v>0.69510195337796754</v>
      </c>
      <c r="U247" s="110">
        <f>SUM(U248:U248)</f>
        <v>279753.36</v>
      </c>
      <c r="V247" s="111">
        <f>U247/R247</f>
        <v>0.68884917400650547</v>
      </c>
      <c r="W247" s="110">
        <f>SUM(W248:W248)</f>
        <v>279753.36</v>
      </c>
      <c r="X247" s="112">
        <f>W247/R247</f>
        <v>0.68884917400650547</v>
      </c>
      <c r="Y247" s="75"/>
    </row>
    <row r="248" spans="1:25" s="90" customFormat="1" ht="39" customHeight="1" x14ac:dyDescent="0.2">
      <c r="A248" s="123" t="s">
        <v>130</v>
      </c>
      <c r="B248" s="78" t="s">
        <v>131</v>
      </c>
      <c r="C248" s="79" t="s">
        <v>75</v>
      </c>
      <c r="D248" s="80" t="s">
        <v>207</v>
      </c>
      <c r="E248" s="81" t="s">
        <v>73</v>
      </c>
      <c r="F248" s="82" t="s">
        <v>208</v>
      </c>
      <c r="G248" s="83">
        <v>1</v>
      </c>
      <c r="H248" s="79" t="s">
        <v>134</v>
      </c>
      <c r="I248" s="129" t="s">
        <v>135</v>
      </c>
      <c r="J248" s="85">
        <v>3</v>
      </c>
      <c r="K248" s="86">
        <v>396117</v>
      </c>
      <c r="L248" s="87">
        <f>10000</f>
        <v>10000</v>
      </c>
      <c r="M248" s="87">
        <v>0</v>
      </c>
      <c r="N248" s="86">
        <f>K248+L248-M248</f>
        <v>406117</v>
      </c>
      <c r="O248" s="87">
        <v>0</v>
      </c>
      <c r="P248" s="87">
        <v>0</v>
      </c>
      <c r="Q248" s="87">
        <v>0</v>
      </c>
      <c r="R248" s="86">
        <f>N248-O248+P248+Q248</f>
        <v>406117</v>
      </c>
      <c r="S248" s="87">
        <f>52820.56+2098.36+35000+35000+11467.64+2672.2+27814.9+28150.2+32933.28+54335.58</f>
        <v>282292.72000000003</v>
      </c>
      <c r="T248" s="88">
        <f>S248/R248</f>
        <v>0.69510195337796754</v>
      </c>
      <c r="U248" s="87">
        <f>1820.56+32452.46+2098.36+33622.23+33380.33+33145.46+27814.9+28150.2+32933.28+54335.58</f>
        <v>279753.36</v>
      </c>
      <c r="V248" s="88">
        <f>U248/R248</f>
        <v>0.68884917400650547</v>
      </c>
      <c r="W248" s="87">
        <f>34273.02+2098.36+33622.23+33380.33+33145.46+27814.9+28150.2+32933.28+54335.58</f>
        <v>279753.36</v>
      </c>
      <c r="X248" s="89">
        <f>W248/R248</f>
        <v>0.68884917400650547</v>
      </c>
      <c r="Y248" s="65"/>
    </row>
    <row r="249" spans="1:25" s="65" customFormat="1" ht="9" customHeight="1" x14ac:dyDescent="0.2">
      <c r="A249" s="134"/>
      <c r="B249" s="92"/>
      <c r="C249" s="93"/>
      <c r="D249" s="94"/>
      <c r="E249" s="95"/>
      <c r="F249" s="96"/>
      <c r="G249" s="97"/>
      <c r="H249" s="93"/>
      <c r="I249" s="98"/>
      <c r="J249" s="99"/>
      <c r="K249" s="101"/>
      <c r="L249" s="101"/>
      <c r="M249" s="101"/>
      <c r="N249" s="101"/>
      <c r="O249" s="101"/>
      <c r="P249" s="101"/>
      <c r="Q249" s="101"/>
      <c r="R249" s="101"/>
      <c r="S249" s="101"/>
      <c r="T249" s="102"/>
      <c r="U249" s="101"/>
      <c r="V249" s="102"/>
      <c r="W249" s="101"/>
      <c r="X249" s="103"/>
    </row>
    <row r="250" spans="1:25" s="76" customFormat="1" ht="39" customHeight="1" x14ac:dyDescent="0.2">
      <c r="A250" s="130" t="s">
        <v>130</v>
      </c>
      <c r="B250" s="105" t="s">
        <v>138</v>
      </c>
      <c r="C250" s="106"/>
      <c r="D250" s="107" t="s">
        <v>209</v>
      </c>
      <c r="E250" s="108" t="s">
        <v>73</v>
      </c>
      <c r="F250" s="105" t="s">
        <v>210</v>
      </c>
      <c r="G250" s="109"/>
      <c r="H250" s="109"/>
      <c r="I250" s="109"/>
      <c r="J250" s="106"/>
      <c r="K250" s="110">
        <f>SUM(K251:K251)</f>
        <v>7695550</v>
      </c>
      <c r="L250" s="110">
        <f t="shared" ref="L250:S250" si="131">SUM(L251:L251)</f>
        <v>0</v>
      </c>
      <c r="M250" s="110">
        <f t="shared" si="131"/>
        <v>29100</v>
      </c>
      <c r="N250" s="110">
        <f>SUM(N251:N251)</f>
        <v>7666450</v>
      </c>
      <c r="O250" s="110">
        <f t="shared" si="131"/>
        <v>0</v>
      </c>
      <c r="P250" s="110">
        <f t="shared" si="131"/>
        <v>0</v>
      </c>
      <c r="Q250" s="110">
        <f t="shared" si="131"/>
        <v>0</v>
      </c>
      <c r="R250" s="110">
        <f t="shared" si="131"/>
        <v>7666450</v>
      </c>
      <c r="S250" s="110">
        <f t="shared" si="131"/>
        <v>4425027.13</v>
      </c>
      <c r="T250" s="111">
        <f>S250/R250</f>
        <v>0.5771937637368012</v>
      </c>
      <c r="U250" s="110">
        <f>SUM(U251:U251)</f>
        <v>3985875.88</v>
      </c>
      <c r="V250" s="111">
        <f>U250/R250</f>
        <v>0.5199115470654605</v>
      </c>
      <c r="W250" s="110">
        <f>SUM(W251:W251)</f>
        <v>3863140.7100000004</v>
      </c>
      <c r="X250" s="112">
        <f>W250/R250</f>
        <v>0.50390215940885297</v>
      </c>
      <c r="Y250" s="75"/>
    </row>
    <row r="251" spans="1:25" s="90" customFormat="1" ht="39" customHeight="1" x14ac:dyDescent="0.2">
      <c r="A251" s="123" t="s">
        <v>130</v>
      </c>
      <c r="B251" s="78" t="s">
        <v>131</v>
      </c>
      <c r="C251" s="79" t="s">
        <v>75</v>
      </c>
      <c r="D251" s="80" t="s">
        <v>209</v>
      </c>
      <c r="E251" s="81" t="s">
        <v>73</v>
      </c>
      <c r="F251" s="82" t="s">
        <v>210</v>
      </c>
      <c r="G251" s="83">
        <v>1</v>
      </c>
      <c r="H251" s="79" t="s">
        <v>134</v>
      </c>
      <c r="I251" s="129" t="s">
        <v>135</v>
      </c>
      <c r="J251" s="85">
        <v>3</v>
      </c>
      <c r="K251" s="86">
        <v>7695550</v>
      </c>
      <c r="L251" s="87">
        <v>0</v>
      </c>
      <c r="M251" s="87">
        <f>29100</f>
        <v>29100</v>
      </c>
      <c r="N251" s="86">
        <f>K251+L251-M251</f>
        <v>7666450</v>
      </c>
      <c r="O251" s="87">
        <v>0</v>
      </c>
      <c r="P251" s="87">
        <v>0</v>
      </c>
      <c r="Q251" s="87">
        <v>0</v>
      </c>
      <c r="R251" s="86">
        <f>N251-O251+P251+Q251</f>
        <v>7666450</v>
      </c>
      <c r="S251" s="87">
        <f>438669.27+431171.71+535328.44+516270.1+200520.09+205614.4+453864.18+332632.46+372627.45+938329.03</f>
        <v>4425027.13</v>
      </c>
      <c r="T251" s="88">
        <f>S251/R251</f>
        <v>0.5771937637368012</v>
      </c>
      <c r="U251" s="87">
        <f>38523.39+414777.27+687999.85+279949.95+343478.73+434303.19+423072.21+284240.65+369049.18+710481.46</f>
        <v>3985875.88</v>
      </c>
      <c r="V251" s="88">
        <f t="shared" ref="V251" si="132">U251/R251</f>
        <v>0.5199115470654605</v>
      </c>
      <c r="W251" s="87">
        <f>23667.76+363519.22+596392.01+377114.87+404035.33+431926.46+331020.87+369631.01+378086.89+587746.29</f>
        <v>3863140.7100000004</v>
      </c>
      <c r="X251" s="89">
        <f>W251/R251</f>
        <v>0.50390215940885297</v>
      </c>
      <c r="Y251" s="65"/>
    </row>
    <row r="252" spans="1:25" s="65" customFormat="1" ht="9" customHeight="1" x14ac:dyDescent="0.2">
      <c r="A252" s="91"/>
      <c r="B252" s="92"/>
      <c r="C252" s="93"/>
      <c r="D252" s="94"/>
      <c r="E252" s="95"/>
      <c r="F252" s="96"/>
      <c r="G252" s="97"/>
      <c r="H252" s="93"/>
      <c r="I252" s="98"/>
      <c r="J252" s="99"/>
      <c r="K252" s="100"/>
      <c r="L252" s="101"/>
      <c r="M252" s="101"/>
      <c r="N252" s="100"/>
      <c r="O252" s="101"/>
      <c r="P252" s="101"/>
      <c r="Q252" s="101"/>
      <c r="R252" s="100"/>
      <c r="S252" s="101"/>
      <c r="T252" s="102"/>
      <c r="U252" s="101"/>
      <c r="V252" s="102"/>
      <c r="W252" s="101"/>
      <c r="X252" s="103"/>
    </row>
    <row r="253" spans="1:25" s="76" customFormat="1" ht="39" customHeight="1" x14ac:dyDescent="0.2">
      <c r="A253" s="130" t="s">
        <v>130</v>
      </c>
      <c r="B253" s="105" t="s">
        <v>138</v>
      </c>
      <c r="C253" s="106"/>
      <c r="D253" s="107" t="s">
        <v>211</v>
      </c>
      <c r="E253" s="108" t="s">
        <v>73</v>
      </c>
      <c r="F253" s="105" t="s">
        <v>91</v>
      </c>
      <c r="G253" s="109"/>
      <c r="H253" s="109"/>
      <c r="I253" s="109"/>
      <c r="J253" s="106"/>
      <c r="K253" s="110">
        <f>SUM(K254:K255)</f>
        <v>14824969</v>
      </c>
      <c r="L253" s="110">
        <f t="shared" ref="L253:S253" si="133">SUM(L254:L255)</f>
        <v>4926776</v>
      </c>
      <c r="M253" s="110">
        <f t="shared" si="133"/>
        <v>1075950</v>
      </c>
      <c r="N253" s="110">
        <f t="shared" si="133"/>
        <v>18675795</v>
      </c>
      <c r="O253" s="110">
        <f t="shared" si="133"/>
        <v>1786226.34</v>
      </c>
      <c r="P253" s="110">
        <f t="shared" si="133"/>
        <v>0</v>
      </c>
      <c r="Q253" s="110">
        <f t="shared" si="133"/>
        <v>-1046694.7999999999</v>
      </c>
      <c r="R253" s="110">
        <f t="shared" si="133"/>
        <v>15842873.859999999</v>
      </c>
      <c r="S253" s="110">
        <f t="shared" si="133"/>
        <v>10172112.310000001</v>
      </c>
      <c r="T253" s="111">
        <f>S253/R253</f>
        <v>0.64206231772648859</v>
      </c>
      <c r="U253" s="110">
        <f>SUM(U254:U255)</f>
        <v>9067323.790000001</v>
      </c>
      <c r="V253" s="111">
        <f>U253/R253</f>
        <v>0.57232821962264879</v>
      </c>
      <c r="W253" s="110">
        <f>SUM(W254:W255)</f>
        <v>8867852.1699999999</v>
      </c>
      <c r="X253" s="112">
        <f>W253/R253</f>
        <v>0.55973759864297756</v>
      </c>
      <c r="Y253" s="75"/>
    </row>
    <row r="254" spans="1:25" s="90" customFormat="1" ht="39" customHeight="1" x14ac:dyDescent="0.2">
      <c r="A254" s="123" t="s">
        <v>130</v>
      </c>
      <c r="B254" s="78" t="s">
        <v>131</v>
      </c>
      <c r="C254" s="79" t="s">
        <v>75</v>
      </c>
      <c r="D254" s="80" t="s">
        <v>211</v>
      </c>
      <c r="E254" s="81" t="s">
        <v>73</v>
      </c>
      <c r="F254" s="82" t="s">
        <v>212</v>
      </c>
      <c r="G254" s="83">
        <v>1</v>
      </c>
      <c r="H254" s="79" t="s">
        <v>134</v>
      </c>
      <c r="I254" s="129" t="s">
        <v>135</v>
      </c>
      <c r="J254" s="85">
        <v>3</v>
      </c>
      <c r="K254" s="86">
        <v>14824969</v>
      </c>
      <c r="L254" s="87">
        <f>1046850</f>
        <v>1046850</v>
      </c>
      <c r="M254" s="87">
        <f>29100</f>
        <v>29100</v>
      </c>
      <c r="N254" s="86">
        <f>K254+L254-M254</f>
        <v>15842719</v>
      </c>
      <c r="O254" s="87">
        <v>0</v>
      </c>
      <c r="P254" s="87">
        <v>0</v>
      </c>
      <c r="Q254" s="87">
        <f>-125808.99-145792.72-108736.17-91585.79-98079.25-97635-115704.08-148240.38-115112.42</f>
        <v>-1046694.7999999999</v>
      </c>
      <c r="R254" s="86">
        <f>N254-O254+P254+Q254</f>
        <v>14796024.199999999</v>
      </c>
      <c r="S254" s="87">
        <f>865940.9+1483941.7+983977.73+953982.22+549751.02+184593.26+1289241.57+319548.66+1023106.18+1471179.41</f>
        <v>9125262.6500000004</v>
      </c>
      <c r="T254" s="88">
        <f>S254/R254</f>
        <v>0.61673747803142964</v>
      </c>
      <c r="U254" s="87">
        <f>81517.96+1778854.61+1114564.88+340965.75+746439.83+788162.74+1103514.45+245258.18+1021406.5+799789.23</f>
        <v>8020474.1300000008</v>
      </c>
      <c r="V254" s="88">
        <f>U254/R254</f>
        <v>0.54206954662861395</v>
      </c>
      <c r="W254" s="87">
        <f>48761.38+1744527.23+1069256.17+396221.35+803576.9+781871.17+740531.31+609097.15+1026842.24+600317.61</f>
        <v>7821002.5100000007</v>
      </c>
      <c r="X254" s="89">
        <f>W254/R254</f>
        <v>0.52858811287967489</v>
      </c>
      <c r="Y254" s="65"/>
    </row>
    <row r="255" spans="1:25" s="90" customFormat="1" ht="39" customHeight="1" x14ac:dyDescent="0.2">
      <c r="A255" s="123" t="s">
        <v>130</v>
      </c>
      <c r="B255" s="78" t="s">
        <v>131</v>
      </c>
      <c r="C255" s="79" t="s">
        <v>75</v>
      </c>
      <c r="D255" s="80" t="s">
        <v>211</v>
      </c>
      <c r="E255" s="81" t="s">
        <v>73</v>
      </c>
      <c r="F255" s="82" t="s">
        <v>212</v>
      </c>
      <c r="G255" s="83">
        <v>1</v>
      </c>
      <c r="H255" s="131" t="s">
        <v>143</v>
      </c>
      <c r="I255" s="133" t="s">
        <v>144</v>
      </c>
      <c r="J255" s="85">
        <v>3</v>
      </c>
      <c r="K255" s="86">
        <v>0</v>
      </c>
      <c r="L255" s="87">
        <f>3879926</f>
        <v>3879926</v>
      </c>
      <c r="M255" s="87">
        <v>1046850</v>
      </c>
      <c r="N255" s="86">
        <f>K255+L255-M255</f>
        <v>2833076</v>
      </c>
      <c r="O255" s="87">
        <f>1786226.34</f>
        <v>1786226.34</v>
      </c>
      <c r="P255" s="87">
        <v>0</v>
      </c>
      <c r="Q255" s="87">
        <v>0</v>
      </c>
      <c r="R255" s="86">
        <f>N255-O255+P255+Q255</f>
        <v>1046849.6599999999</v>
      </c>
      <c r="S255" s="87">
        <f>1046849.66</f>
        <v>1046849.66</v>
      </c>
      <c r="T255" s="88">
        <f>S255/R255</f>
        <v>1.0000000000000002</v>
      </c>
      <c r="U255" s="87">
        <f>1046849.66</f>
        <v>1046849.66</v>
      </c>
      <c r="V255" s="88">
        <f>U255/R255</f>
        <v>1.0000000000000002</v>
      </c>
      <c r="W255" s="87">
        <f>1046849.66</f>
        <v>1046849.66</v>
      </c>
      <c r="X255" s="89">
        <f>W255/R255</f>
        <v>1.0000000000000002</v>
      </c>
      <c r="Y255" s="65"/>
    </row>
    <row r="256" spans="1:25" s="65" customFormat="1" ht="9" customHeight="1" x14ac:dyDescent="0.2">
      <c r="A256" s="134"/>
      <c r="B256" s="92"/>
      <c r="C256" s="93"/>
      <c r="D256" s="94"/>
      <c r="E256" s="95"/>
      <c r="F256" s="96"/>
      <c r="G256" s="97"/>
      <c r="H256" s="93"/>
      <c r="I256" s="98"/>
      <c r="J256" s="99"/>
      <c r="K256" s="101"/>
      <c r="L256" s="101"/>
      <c r="M256" s="101"/>
      <c r="N256" s="101"/>
      <c r="O256" s="101"/>
      <c r="P256" s="101"/>
      <c r="Q256" s="101"/>
      <c r="R256" s="101"/>
      <c r="S256" s="101"/>
      <c r="T256" s="102"/>
      <c r="U256" s="101"/>
      <c r="V256" s="102"/>
      <c r="W256" s="101"/>
      <c r="X256" s="103"/>
    </row>
    <row r="257" spans="1:25" s="76" customFormat="1" ht="39" customHeight="1" x14ac:dyDescent="0.2">
      <c r="A257" s="130" t="s">
        <v>130</v>
      </c>
      <c r="B257" s="105" t="s">
        <v>138</v>
      </c>
      <c r="C257" s="106"/>
      <c r="D257" s="107" t="s">
        <v>213</v>
      </c>
      <c r="E257" s="108" t="s">
        <v>73</v>
      </c>
      <c r="F257" s="105" t="s">
        <v>88</v>
      </c>
      <c r="G257" s="109"/>
      <c r="H257" s="109"/>
      <c r="I257" s="109"/>
      <c r="J257" s="106"/>
      <c r="K257" s="110">
        <f>K258</f>
        <v>58740</v>
      </c>
      <c r="L257" s="110">
        <f t="shared" ref="L257:S257" si="134">L258</f>
        <v>0</v>
      </c>
      <c r="M257" s="110">
        <f t="shared" si="134"/>
        <v>0</v>
      </c>
      <c r="N257" s="110">
        <f t="shared" si="134"/>
        <v>58740</v>
      </c>
      <c r="O257" s="110">
        <f t="shared" si="134"/>
        <v>0</v>
      </c>
      <c r="P257" s="110">
        <f t="shared" si="134"/>
        <v>0</v>
      </c>
      <c r="Q257" s="110">
        <f t="shared" si="134"/>
        <v>0</v>
      </c>
      <c r="R257" s="110">
        <f t="shared" si="134"/>
        <v>58740</v>
      </c>
      <c r="S257" s="110">
        <f t="shared" si="134"/>
        <v>2433.25</v>
      </c>
      <c r="T257" s="111">
        <f>S257/R257</f>
        <v>4.1424072182499147E-2</v>
      </c>
      <c r="U257" s="110">
        <f>U258</f>
        <v>2433.25</v>
      </c>
      <c r="V257" s="111">
        <f>U257/R257</f>
        <v>4.1424072182499147E-2</v>
      </c>
      <c r="W257" s="110">
        <f>W258</f>
        <v>2433.25</v>
      </c>
      <c r="X257" s="112">
        <f>W257/R257</f>
        <v>4.1424072182499147E-2</v>
      </c>
      <c r="Y257" s="75"/>
    </row>
    <row r="258" spans="1:25" s="90" customFormat="1" ht="39" customHeight="1" x14ac:dyDescent="0.2">
      <c r="A258" s="123" t="s">
        <v>130</v>
      </c>
      <c r="B258" s="78" t="s">
        <v>131</v>
      </c>
      <c r="C258" s="79" t="s">
        <v>75</v>
      </c>
      <c r="D258" s="80" t="s">
        <v>213</v>
      </c>
      <c r="E258" s="81" t="s">
        <v>73</v>
      </c>
      <c r="F258" s="82" t="s">
        <v>214</v>
      </c>
      <c r="G258" s="83">
        <v>1</v>
      </c>
      <c r="H258" s="79" t="s">
        <v>134</v>
      </c>
      <c r="I258" s="129" t="s">
        <v>135</v>
      </c>
      <c r="J258" s="85">
        <v>3</v>
      </c>
      <c r="K258" s="86">
        <v>58740</v>
      </c>
      <c r="L258" s="87">
        <v>0</v>
      </c>
      <c r="M258" s="87">
        <v>0</v>
      </c>
      <c r="N258" s="86">
        <f>K258+L258-M258</f>
        <v>58740</v>
      </c>
      <c r="O258" s="87">
        <v>0</v>
      </c>
      <c r="P258" s="87">
        <v>0</v>
      </c>
      <c r="Q258" s="87">
        <v>0</v>
      </c>
      <c r="R258" s="86">
        <f>N258-O258+P258+Q258</f>
        <v>58740</v>
      </c>
      <c r="S258" s="87">
        <f>524.59+1240.61+668.05</f>
        <v>2433.25</v>
      </c>
      <c r="T258" s="88">
        <f>S258/R258</f>
        <v>4.1424072182499147E-2</v>
      </c>
      <c r="U258" s="87">
        <f>524.59+1240.61+668.05</f>
        <v>2433.25</v>
      </c>
      <c r="V258" s="88">
        <f>U258/R258</f>
        <v>4.1424072182499147E-2</v>
      </c>
      <c r="W258" s="87">
        <f>524.59+1240.61+668.05</f>
        <v>2433.25</v>
      </c>
      <c r="X258" s="89">
        <f>W258/R258</f>
        <v>4.1424072182499147E-2</v>
      </c>
      <c r="Y258" s="65"/>
    </row>
    <row r="259" spans="1:25" s="65" customFormat="1" ht="9" customHeight="1" x14ac:dyDescent="0.2">
      <c r="A259" s="91"/>
      <c r="B259" s="92"/>
      <c r="C259" s="93"/>
      <c r="D259" s="94"/>
      <c r="E259" s="95"/>
      <c r="F259" s="96"/>
      <c r="G259" s="97"/>
      <c r="H259" s="93"/>
      <c r="I259" s="98"/>
      <c r="J259" s="99"/>
      <c r="K259" s="100"/>
      <c r="L259" s="101"/>
      <c r="M259" s="101"/>
      <c r="N259" s="100"/>
      <c r="O259" s="101"/>
      <c r="P259" s="101"/>
      <c r="Q259" s="101"/>
      <c r="R259" s="100"/>
      <c r="S259" s="101"/>
      <c r="T259" s="102"/>
      <c r="U259" s="101"/>
      <c r="V259" s="102"/>
      <c r="W259" s="101"/>
      <c r="X259" s="103"/>
    </row>
    <row r="260" spans="1:25" s="76" customFormat="1" ht="39" customHeight="1" x14ac:dyDescent="0.2">
      <c r="A260" s="130" t="s">
        <v>130</v>
      </c>
      <c r="B260" s="105" t="s">
        <v>138</v>
      </c>
      <c r="C260" s="106"/>
      <c r="D260" s="107" t="s">
        <v>215</v>
      </c>
      <c r="E260" s="108" t="s">
        <v>73</v>
      </c>
      <c r="F260" s="105" t="s">
        <v>216</v>
      </c>
      <c r="G260" s="109"/>
      <c r="H260" s="109"/>
      <c r="I260" s="109"/>
      <c r="J260" s="106"/>
      <c r="K260" s="110">
        <f>SUM(K261:K262)</f>
        <v>102000</v>
      </c>
      <c r="L260" s="110">
        <f t="shared" ref="L260:S260" si="135">SUM(L261:L262)</f>
        <v>0</v>
      </c>
      <c r="M260" s="110">
        <f t="shared" si="135"/>
        <v>0</v>
      </c>
      <c r="N260" s="110">
        <f t="shared" si="135"/>
        <v>102000</v>
      </c>
      <c r="O260" s="110">
        <f t="shared" si="135"/>
        <v>0</v>
      </c>
      <c r="P260" s="110">
        <f t="shared" si="135"/>
        <v>0</v>
      </c>
      <c r="Q260" s="110">
        <f t="shared" si="135"/>
        <v>0</v>
      </c>
      <c r="R260" s="110">
        <f t="shared" si="135"/>
        <v>102000</v>
      </c>
      <c r="S260" s="110">
        <f t="shared" si="135"/>
        <v>10672.57</v>
      </c>
      <c r="T260" s="111">
        <f>S260/R260</f>
        <v>0.10463303921568627</v>
      </c>
      <c r="U260" s="110">
        <f>SUM(U261:U262)</f>
        <v>10672.57</v>
      </c>
      <c r="V260" s="111">
        <f>U260/R260</f>
        <v>0.10463303921568627</v>
      </c>
      <c r="W260" s="110">
        <f>SUM(W261:W262)</f>
        <v>10672.57</v>
      </c>
      <c r="X260" s="112">
        <f>W260/R260</f>
        <v>0.10463303921568627</v>
      </c>
      <c r="Y260" s="75"/>
    </row>
    <row r="261" spans="1:25" s="90" customFormat="1" ht="39" customHeight="1" x14ac:dyDescent="0.2">
      <c r="A261" s="123" t="s">
        <v>130</v>
      </c>
      <c r="B261" s="78" t="s">
        <v>131</v>
      </c>
      <c r="C261" s="79" t="s">
        <v>75</v>
      </c>
      <c r="D261" s="80" t="s">
        <v>215</v>
      </c>
      <c r="E261" s="81" t="s">
        <v>73</v>
      </c>
      <c r="F261" s="82" t="s">
        <v>216</v>
      </c>
      <c r="G261" s="83">
        <v>1</v>
      </c>
      <c r="H261" s="79" t="s">
        <v>52</v>
      </c>
      <c r="I261" s="84" t="s">
        <v>53</v>
      </c>
      <c r="J261" s="85">
        <v>4</v>
      </c>
      <c r="K261" s="86">
        <v>20000</v>
      </c>
      <c r="L261" s="87">
        <v>0</v>
      </c>
      <c r="M261" s="87">
        <v>0</v>
      </c>
      <c r="N261" s="86">
        <f>K261+L261-M261</f>
        <v>20000</v>
      </c>
      <c r="O261" s="87">
        <v>0</v>
      </c>
      <c r="P261" s="87">
        <v>0</v>
      </c>
      <c r="Q261" s="87">
        <v>0</v>
      </c>
      <c r="R261" s="86">
        <f>N261-O261+P261+Q261</f>
        <v>20000</v>
      </c>
      <c r="S261" s="87">
        <v>0</v>
      </c>
      <c r="T261" s="88">
        <f t="shared" ref="T261:T262" si="136">S261/R261</f>
        <v>0</v>
      </c>
      <c r="U261" s="87">
        <v>0</v>
      </c>
      <c r="V261" s="88">
        <f t="shared" ref="V261:V262" si="137">U261/R261</f>
        <v>0</v>
      </c>
      <c r="W261" s="87">
        <v>0</v>
      </c>
      <c r="X261" s="89">
        <f t="shared" ref="X261:X262" si="138">W261/R261</f>
        <v>0</v>
      </c>
      <c r="Y261" s="65"/>
    </row>
    <row r="262" spans="1:25" s="90" customFormat="1" ht="39" customHeight="1" x14ac:dyDescent="0.2">
      <c r="A262" s="123" t="s">
        <v>130</v>
      </c>
      <c r="B262" s="78" t="s">
        <v>131</v>
      </c>
      <c r="C262" s="79" t="s">
        <v>75</v>
      </c>
      <c r="D262" s="80" t="s">
        <v>215</v>
      </c>
      <c r="E262" s="81" t="s">
        <v>73</v>
      </c>
      <c r="F262" s="82" t="s">
        <v>216</v>
      </c>
      <c r="G262" s="83">
        <v>1</v>
      </c>
      <c r="H262" s="79" t="s">
        <v>134</v>
      </c>
      <c r="I262" s="129" t="s">
        <v>135</v>
      </c>
      <c r="J262" s="85">
        <v>3</v>
      </c>
      <c r="K262" s="86">
        <v>82000</v>
      </c>
      <c r="L262" s="87">
        <v>0</v>
      </c>
      <c r="M262" s="87">
        <v>0</v>
      </c>
      <c r="N262" s="86">
        <f>K262+L262-M262</f>
        <v>82000</v>
      </c>
      <c r="O262" s="87">
        <v>0</v>
      </c>
      <c r="P262" s="87">
        <v>0</v>
      </c>
      <c r="Q262" s="87">
        <v>0</v>
      </c>
      <c r="R262" s="86">
        <f>N262-O262+P262+Q262</f>
        <v>82000</v>
      </c>
      <c r="S262" s="87">
        <f>5500+2750+2422.57</f>
        <v>10672.57</v>
      </c>
      <c r="T262" s="88">
        <f t="shared" si="136"/>
        <v>0.13015329268292683</v>
      </c>
      <c r="U262" s="87">
        <f>5500+2750+2422.57</f>
        <v>10672.57</v>
      </c>
      <c r="V262" s="88">
        <f t="shared" si="137"/>
        <v>0.13015329268292683</v>
      </c>
      <c r="W262" s="87">
        <f>5500+2750+2422.57</f>
        <v>10672.57</v>
      </c>
      <c r="X262" s="89">
        <f t="shared" si="138"/>
        <v>0.13015329268292683</v>
      </c>
      <c r="Y262" s="65"/>
    </row>
    <row r="263" spans="1:25" s="65" customFormat="1" ht="9" customHeight="1" x14ac:dyDescent="0.2">
      <c r="A263" s="134"/>
      <c r="B263" s="92"/>
      <c r="C263" s="93"/>
      <c r="D263" s="94"/>
      <c r="E263" s="95"/>
      <c r="F263" s="96"/>
      <c r="G263" s="97"/>
      <c r="H263" s="93"/>
      <c r="I263" s="98"/>
      <c r="J263" s="99"/>
      <c r="K263" s="101"/>
      <c r="L263" s="101"/>
      <c r="M263" s="101"/>
      <c r="N263" s="101"/>
      <c r="O263" s="101"/>
      <c r="P263" s="101"/>
      <c r="Q263" s="101"/>
      <c r="R263" s="101"/>
      <c r="S263" s="101"/>
      <c r="T263" s="102"/>
      <c r="U263" s="101"/>
      <c r="V263" s="102"/>
      <c r="W263" s="101"/>
      <c r="X263" s="103"/>
    </row>
    <row r="264" spans="1:25" s="76" customFormat="1" ht="39" customHeight="1" x14ac:dyDescent="0.2">
      <c r="A264" s="130" t="s">
        <v>130</v>
      </c>
      <c r="B264" s="105" t="s">
        <v>138</v>
      </c>
      <c r="C264" s="106"/>
      <c r="D264" s="107" t="s">
        <v>217</v>
      </c>
      <c r="E264" s="108" t="s">
        <v>73</v>
      </c>
      <c r="F264" s="105" t="s">
        <v>218</v>
      </c>
      <c r="G264" s="109"/>
      <c r="H264" s="109"/>
      <c r="I264" s="109"/>
      <c r="J264" s="106"/>
      <c r="K264" s="110">
        <f>SUM(K265:K266)</f>
        <v>232465</v>
      </c>
      <c r="L264" s="110">
        <f t="shared" ref="L264:S264" si="139">SUM(L265:L266)</f>
        <v>0</v>
      </c>
      <c r="M264" s="110">
        <f t="shared" si="139"/>
        <v>0</v>
      </c>
      <c r="N264" s="110">
        <f t="shared" si="139"/>
        <v>232465</v>
      </c>
      <c r="O264" s="110">
        <f t="shared" si="139"/>
        <v>0</v>
      </c>
      <c r="P264" s="110">
        <f t="shared" si="139"/>
        <v>0</v>
      </c>
      <c r="Q264" s="110">
        <f t="shared" si="139"/>
        <v>0</v>
      </c>
      <c r="R264" s="110">
        <f t="shared" si="139"/>
        <v>232465</v>
      </c>
      <c r="S264" s="110">
        <f t="shared" si="139"/>
        <v>114705.12</v>
      </c>
      <c r="T264" s="111">
        <f>S264/R264</f>
        <v>0.49342963456864475</v>
      </c>
      <c r="U264" s="110">
        <f>SUM(U265:U266)</f>
        <v>112665.60000000001</v>
      </c>
      <c r="V264" s="111">
        <f>U264/R264</f>
        <v>0.48465618480201322</v>
      </c>
      <c r="W264" s="110">
        <f>SUM(W265:W266)</f>
        <v>112665.60000000001</v>
      </c>
      <c r="X264" s="112">
        <f>W264/R264</f>
        <v>0.48465618480201322</v>
      </c>
      <c r="Y264" s="75"/>
    </row>
    <row r="265" spans="1:25" s="90" customFormat="1" ht="39" customHeight="1" x14ac:dyDescent="0.2">
      <c r="A265" s="123" t="s">
        <v>130</v>
      </c>
      <c r="B265" s="78" t="s">
        <v>131</v>
      </c>
      <c r="C265" s="79" t="s">
        <v>75</v>
      </c>
      <c r="D265" s="80" t="s">
        <v>217</v>
      </c>
      <c r="E265" s="81" t="s">
        <v>73</v>
      </c>
      <c r="F265" s="82" t="s">
        <v>218</v>
      </c>
      <c r="G265" s="83">
        <v>1</v>
      </c>
      <c r="H265" s="79" t="s">
        <v>52</v>
      </c>
      <c r="I265" s="84" t="s">
        <v>53</v>
      </c>
      <c r="J265" s="85">
        <v>4</v>
      </c>
      <c r="K265" s="86">
        <v>26000</v>
      </c>
      <c r="L265" s="87">
        <v>0</v>
      </c>
      <c r="M265" s="87">
        <v>0</v>
      </c>
      <c r="N265" s="86">
        <f>K265+L265-M265</f>
        <v>26000</v>
      </c>
      <c r="O265" s="87">
        <v>0</v>
      </c>
      <c r="P265" s="87">
        <v>0</v>
      </c>
      <c r="Q265" s="87">
        <v>0</v>
      </c>
      <c r="R265" s="86">
        <f>N265-O265+P265+Q265</f>
        <v>26000</v>
      </c>
      <c r="S265" s="87">
        <f>3370.62</f>
        <v>3370.62</v>
      </c>
      <c r="T265" s="88">
        <f t="shared" ref="T265:T266" si="140">S265/R265</f>
        <v>0.12963923076923076</v>
      </c>
      <c r="U265" s="87">
        <f>3212.85</f>
        <v>3212.85</v>
      </c>
      <c r="V265" s="88">
        <f t="shared" ref="V265:V266" si="141">U265/R265</f>
        <v>0.12357115384615384</v>
      </c>
      <c r="W265" s="87">
        <f>3212.85</f>
        <v>3212.85</v>
      </c>
      <c r="X265" s="89">
        <f t="shared" ref="X265:X266" si="142">W265/R265</f>
        <v>0.12357115384615384</v>
      </c>
      <c r="Y265" s="65"/>
    </row>
    <row r="266" spans="1:25" s="90" customFormat="1" ht="39" customHeight="1" x14ac:dyDescent="0.2">
      <c r="A266" s="123" t="s">
        <v>130</v>
      </c>
      <c r="B266" s="78" t="s">
        <v>131</v>
      </c>
      <c r="C266" s="79" t="s">
        <v>75</v>
      </c>
      <c r="D266" s="80" t="s">
        <v>217</v>
      </c>
      <c r="E266" s="81" t="s">
        <v>73</v>
      </c>
      <c r="F266" s="82" t="s">
        <v>218</v>
      </c>
      <c r="G266" s="83">
        <v>1</v>
      </c>
      <c r="H266" s="79" t="s">
        <v>134</v>
      </c>
      <c r="I266" s="129" t="s">
        <v>135</v>
      </c>
      <c r="J266" s="85">
        <v>3</v>
      </c>
      <c r="K266" s="86">
        <v>206465</v>
      </c>
      <c r="L266" s="87">
        <v>0</v>
      </c>
      <c r="M266" s="87">
        <v>0</v>
      </c>
      <c r="N266" s="86">
        <f>K266+L266-M266</f>
        <v>206465</v>
      </c>
      <c r="O266" s="87">
        <v>0</v>
      </c>
      <c r="P266" s="87">
        <v>0</v>
      </c>
      <c r="Q266" s="87">
        <v>0</v>
      </c>
      <c r="R266" s="86">
        <f>N266-O266+P266+Q266</f>
        <v>206465</v>
      </c>
      <c r="S266" s="87">
        <f>4830+12000+12000+11072.75+11100+11072.75+11072.75+15902.75+22283.5</f>
        <v>111334.5</v>
      </c>
      <c r="T266" s="88">
        <f t="shared" si="140"/>
        <v>0.53924151793282149</v>
      </c>
      <c r="U266" s="87">
        <f>4830+11072.75+11072.75+11072.75+11072.75+11072.75+11072.75+15902.75+22283.5</f>
        <v>109452.75</v>
      </c>
      <c r="V266" s="88">
        <f t="shared" si="141"/>
        <v>0.53012738236504975</v>
      </c>
      <c r="W266" s="87">
        <f>4830+11072.75+11072.75+11072.75+11072.75+11072.75+11072.75+15902.75+22283.5</f>
        <v>109452.75</v>
      </c>
      <c r="X266" s="89">
        <f t="shared" si="142"/>
        <v>0.53012738236504975</v>
      </c>
      <c r="Y266" s="65"/>
    </row>
    <row r="267" spans="1:25" s="65" customFormat="1" ht="9" customHeight="1" x14ac:dyDescent="0.2">
      <c r="A267" s="134"/>
      <c r="B267" s="92"/>
      <c r="C267" s="93"/>
      <c r="D267" s="94"/>
      <c r="E267" s="95"/>
      <c r="F267" s="96"/>
      <c r="G267" s="97"/>
      <c r="H267" s="93"/>
      <c r="I267" s="98"/>
      <c r="J267" s="99"/>
      <c r="K267" s="101"/>
      <c r="L267" s="101"/>
      <c r="M267" s="101"/>
      <c r="N267" s="101"/>
      <c r="O267" s="101"/>
      <c r="P267" s="101"/>
      <c r="Q267" s="101"/>
      <c r="R267" s="101"/>
      <c r="S267" s="101"/>
      <c r="T267" s="102"/>
      <c r="U267" s="101"/>
      <c r="V267" s="102"/>
      <c r="W267" s="101"/>
      <c r="X267" s="103"/>
    </row>
    <row r="268" spans="1:25" s="76" customFormat="1" ht="39" customHeight="1" x14ac:dyDescent="0.2">
      <c r="A268" s="130" t="s">
        <v>130</v>
      </c>
      <c r="B268" s="105" t="s">
        <v>138</v>
      </c>
      <c r="C268" s="106"/>
      <c r="D268" s="107" t="s">
        <v>219</v>
      </c>
      <c r="E268" s="108" t="s">
        <v>49</v>
      </c>
      <c r="F268" s="105" t="s">
        <v>220</v>
      </c>
      <c r="G268" s="109"/>
      <c r="H268" s="109"/>
      <c r="I268" s="109"/>
      <c r="J268" s="106"/>
      <c r="K268" s="110">
        <f>SUM(K269:K272)</f>
        <v>19596407</v>
      </c>
      <c r="L268" s="110">
        <f t="shared" ref="L268:S268" si="143">SUM(L269:L272)</f>
        <v>3484599.17</v>
      </c>
      <c r="M268" s="110">
        <f t="shared" si="143"/>
        <v>43919</v>
      </c>
      <c r="N268" s="110">
        <f t="shared" si="143"/>
        <v>23037087.169999998</v>
      </c>
      <c r="O268" s="110">
        <f t="shared" si="143"/>
        <v>2304597.4899999998</v>
      </c>
      <c r="P268" s="110">
        <f t="shared" si="143"/>
        <v>0</v>
      </c>
      <c r="Q268" s="110">
        <f t="shared" si="143"/>
        <v>0</v>
      </c>
      <c r="R268" s="110">
        <f t="shared" si="143"/>
        <v>20732489.68</v>
      </c>
      <c r="S268" s="110">
        <f t="shared" si="143"/>
        <v>10038556.110000001</v>
      </c>
      <c r="T268" s="111">
        <f t="shared" ref="T268:T272" si="144">S268/R268</f>
        <v>0.4841944341920445</v>
      </c>
      <c r="U268" s="110">
        <f>SUM(U269:U272)</f>
        <v>8312292.8800000008</v>
      </c>
      <c r="V268" s="111">
        <f>U268/R268</f>
        <v>0.40093076173184428</v>
      </c>
      <c r="W268" s="110">
        <f>SUM(W269:W272)</f>
        <v>8312292.8800000008</v>
      </c>
      <c r="X268" s="112">
        <f>W268/R268</f>
        <v>0.40093076173184428</v>
      </c>
      <c r="Y268" s="75"/>
    </row>
    <row r="269" spans="1:25" s="90" customFormat="1" ht="39" customHeight="1" x14ac:dyDescent="0.2">
      <c r="A269" s="123" t="s">
        <v>130</v>
      </c>
      <c r="B269" s="78" t="s">
        <v>131</v>
      </c>
      <c r="C269" s="79" t="s">
        <v>221</v>
      </c>
      <c r="D269" s="80" t="s">
        <v>219</v>
      </c>
      <c r="E269" s="81" t="s">
        <v>49</v>
      </c>
      <c r="F269" s="82" t="s">
        <v>222</v>
      </c>
      <c r="G269" s="83">
        <v>1</v>
      </c>
      <c r="H269" s="79" t="s">
        <v>52</v>
      </c>
      <c r="I269" s="84" t="s">
        <v>53</v>
      </c>
      <c r="J269" s="85">
        <v>4</v>
      </c>
      <c r="K269" s="86">
        <v>300000</v>
      </c>
      <c r="L269" s="87">
        <v>0</v>
      </c>
      <c r="M269" s="87">
        <v>0</v>
      </c>
      <c r="N269" s="86">
        <f t="shared" ref="N269:N282" si="145">K269+L269-M269</f>
        <v>300000</v>
      </c>
      <c r="O269" s="87">
        <f>300000</f>
        <v>300000</v>
      </c>
      <c r="P269" s="87">
        <v>0</v>
      </c>
      <c r="Q269" s="87">
        <v>0</v>
      </c>
      <c r="R269" s="86">
        <f t="shared" ref="R269:R296" si="146">N269-O269+P269+Q269</f>
        <v>0</v>
      </c>
      <c r="S269" s="87">
        <f>55560-55560</f>
        <v>0</v>
      </c>
      <c r="T269" s="88">
        <v>0</v>
      </c>
      <c r="U269" s="87">
        <v>0</v>
      </c>
      <c r="V269" s="88">
        <v>0</v>
      </c>
      <c r="W269" s="87">
        <v>0</v>
      </c>
      <c r="X269" s="89">
        <v>0</v>
      </c>
      <c r="Y269" s="65"/>
    </row>
    <row r="270" spans="1:25" s="90" customFormat="1" ht="39" customHeight="1" x14ac:dyDescent="0.2">
      <c r="A270" s="123" t="s">
        <v>130</v>
      </c>
      <c r="B270" s="78" t="s">
        <v>131</v>
      </c>
      <c r="C270" s="79" t="s">
        <v>221</v>
      </c>
      <c r="D270" s="80" t="s">
        <v>219</v>
      </c>
      <c r="E270" s="81" t="s">
        <v>49</v>
      </c>
      <c r="F270" s="82" t="s">
        <v>222</v>
      </c>
      <c r="G270" s="83">
        <v>1</v>
      </c>
      <c r="H270" s="79" t="s">
        <v>134</v>
      </c>
      <c r="I270" s="129" t="s">
        <v>135</v>
      </c>
      <c r="J270" s="85">
        <v>3</v>
      </c>
      <c r="K270" s="86">
        <v>19296407</v>
      </c>
      <c r="L270" s="87">
        <v>0</v>
      </c>
      <c r="M270" s="87">
        <f>43919</f>
        <v>43919</v>
      </c>
      <c r="N270" s="86">
        <f t="shared" si="145"/>
        <v>19252488</v>
      </c>
      <c r="O270" s="87">
        <v>0</v>
      </c>
      <c r="P270" s="87">
        <v>0</v>
      </c>
      <c r="Q270" s="87">
        <v>0</v>
      </c>
      <c r="R270" s="86">
        <f t="shared" si="146"/>
        <v>19252488</v>
      </c>
      <c r="S270" s="87">
        <f>1140383.77+216345.11+285984.62+1400626.78+1122796.81+222169.38+2245444.74+467384.94+844978.94+612439.34</f>
        <v>8558554.4300000016</v>
      </c>
      <c r="T270" s="88">
        <f t="shared" si="144"/>
        <v>0.44454277441959716</v>
      </c>
      <c r="U270" s="87">
        <f>115847.02+94841.36+1211714.39+1545892.99+266923.12+840773.45+1647498.34+519587.99+519143.98+958440.24</f>
        <v>7720662.8800000008</v>
      </c>
      <c r="V270" s="88">
        <f>U270/R270</f>
        <v>0.40102156562829699</v>
      </c>
      <c r="W270" s="87">
        <f>105961.73+104726.65+1081444.31+904483.97+877915.63+999560.02+750500.64+1418485.71+426138.95+1051445.27</f>
        <v>7720662.8800000008</v>
      </c>
      <c r="X270" s="89">
        <f t="shared" ref="X270:X292" si="147">W270/R270</f>
        <v>0.40102156562829699</v>
      </c>
      <c r="Y270" s="65"/>
    </row>
    <row r="271" spans="1:25" s="90" customFormat="1" ht="39" customHeight="1" x14ac:dyDescent="0.2">
      <c r="A271" s="123" t="s">
        <v>130</v>
      </c>
      <c r="B271" s="78" t="s">
        <v>131</v>
      </c>
      <c r="C271" s="79" t="s">
        <v>221</v>
      </c>
      <c r="D271" s="80" t="s">
        <v>219</v>
      </c>
      <c r="E271" s="81" t="s">
        <v>49</v>
      </c>
      <c r="F271" s="82" t="s">
        <v>222</v>
      </c>
      <c r="G271" s="83">
        <v>1</v>
      </c>
      <c r="H271" s="128" t="s">
        <v>136</v>
      </c>
      <c r="I271" s="129" t="s">
        <v>137</v>
      </c>
      <c r="J271" s="85">
        <v>4</v>
      </c>
      <c r="K271" s="86">
        <v>0</v>
      </c>
      <c r="L271" s="87">
        <f>3049.29</f>
        <v>3049.29</v>
      </c>
      <c r="M271" s="87">
        <v>0</v>
      </c>
      <c r="N271" s="86">
        <f t="shared" si="145"/>
        <v>3049.29</v>
      </c>
      <c r="O271" s="87">
        <v>3049.29</v>
      </c>
      <c r="P271" s="87">
        <v>0</v>
      </c>
      <c r="Q271" s="87">
        <v>0</v>
      </c>
      <c r="R271" s="86">
        <f t="shared" si="146"/>
        <v>0</v>
      </c>
      <c r="S271" s="87">
        <v>0</v>
      </c>
      <c r="T271" s="88">
        <v>0</v>
      </c>
      <c r="U271" s="87">
        <v>0</v>
      </c>
      <c r="V271" s="88">
        <v>0</v>
      </c>
      <c r="W271" s="87">
        <v>0</v>
      </c>
      <c r="X271" s="89">
        <v>0</v>
      </c>
      <c r="Y271" s="65"/>
    </row>
    <row r="272" spans="1:25" s="90" customFormat="1" ht="39" customHeight="1" x14ac:dyDescent="0.2">
      <c r="A272" s="123" t="s">
        <v>130</v>
      </c>
      <c r="B272" s="78" t="s">
        <v>131</v>
      </c>
      <c r="C272" s="79" t="s">
        <v>221</v>
      </c>
      <c r="D272" s="80" t="s">
        <v>219</v>
      </c>
      <c r="E272" s="81" t="s">
        <v>49</v>
      </c>
      <c r="F272" s="82" t="s">
        <v>222</v>
      </c>
      <c r="G272" s="83">
        <v>1</v>
      </c>
      <c r="H272" s="131" t="s">
        <v>143</v>
      </c>
      <c r="I272" s="133" t="s">
        <v>144</v>
      </c>
      <c r="J272" s="85">
        <v>4</v>
      </c>
      <c r="K272" s="86">
        <v>0</v>
      </c>
      <c r="L272" s="87">
        <f>3481549.88</f>
        <v>3481549.88</v>
      </c>
      <c r="M272" s="87">
        <v>0</v>
      </c>
      <c r="N272" s="86">
        <f t="shared" si="145"/>
        <v>3481549.88</v>
      </c>
      <c r="O272" s="87">
        <f>2043548.2-42000</f>
        <v>2001548.2</v>
      </c>
      <c r="P272" s="87">
        <v>0</v>
      </c>
      <c r="Q272" s="87">
        <v>0</v>
      </c>
      <c r="R272" s="86">
        <f t="shared" si="146"/>
        <v>1480001.68</v>
      </c>
      <c r="S272" s="87">
        <f>27780+563850+846371.68+42000</f>
        <v>1480001.6800000002</v>
      </c>
      <c r="T272" s="88">
        <f t="shared" si="144"/>
        <v>1.0000000000000002</v>
      </c>
      <c r="U272" s="87">
        <f>591630</f>
        <v>591630</v>
      </c>
      <c r="V272" s="88">
        <f t="shared" ref="V272" si="148">U272/R272</f>
        <v>0.39974954623024483</v>
      </c>
      <c r="W272" s="87">
        <f>27780+563850</f>
        <v>591630</v>
      </c>
      <c r="X272" s="89">
        <f t="shared" si="147"/>
        <v>0.39974954623024483</v>
      </c>
      <c r="Y272" s="65"/>
    </row>
    <row r="273" spans="1:25" s="65" customFormat="1" ht="9" customHeight="1" x14ac:dyDescent="0.2">
      <c r="A273" s="91"/>
      <c r="B273" s="92"/>
      <c r="C273" s="93"/>
      <c r="D273" s="94"/>
      <c r="E273" s="95"/>
      <c r="F273" s="96"/>
      <c r="G273" s="97"/>
      <c r="H273" s="93"/>
      <c r="I273" s="98"/>
      <c r="J273" s="99"/>
      <c r="K273" s="100"/>
      <c r="L273" s="101"/>
      <c r="M273" s="101"/>
      <c r="N273" s="100"/>
      <c r="O273" s="101"/>
      <c r="P273" s="101"/>
      <c r="Q273" s="101"/>
      <c r="R273" s="100"/>
      <c r="S273" s="101"/>
      <c r="T273" s="102"/>
      <c r="U273" s="101"/>
      <c r="V273" s="102"/>
      <c r="W273" s="101"/>
      <c r="X273" s="103"/>
    </row>
    <row r="274" spans="1:25" s="76" customFormat="1" ht="39" customHeight="1" x14ac:dyDescent="0.2">
      <c r="A274" s="130" t="s">
        <v>130</v>
      </c>
      <c r="B274" s="105" t="s">
        <v>138</v>
      </c>
      <c r="C274" s="106"/>
      <c r="D274" s="107" t="s">
        <v>223</v>
      </c>
      <c r="E274" s="108" t="s">
        <v>49</v>
      </c>
      <c r="F274" s="105" t="s">
        <v>224</v>
      </c>
      <c r="G274" s="109"/>
      <c r="H274" s="109"/>
      <c r="I274" s="109"/>
      <c r="J274" s="106"/>
      <c r="K274" s="110">
        <f>SUM(K275:K277)</f>
        <v>2518980</v>
      </c>
      <c r="L274" s="110">
        <f t="shared" ref="L274:S274" si="149">SUM(L275:L277)</f>
        <v>413213</v>
      </c>
      <c r="M274" s="110">
        <f t="shared" si="149"/>
        <v>0</v>
      </c>
      <c r="N274" s="110">
        <f t="shared" si="149"/>
        <v>2932193</v>
      </c>
      <c r="O274" s="110">
        <f t="shared" si="149"/>
        <v>283955.36</v>
      </c>
      <c r="P274" s="110">
        <f t="shared" si="149"/>
        <v>0</v>
      </c>
      <c r="Q274" s="110">
        <f t="shared" si="149"/>
        <v>0</v>
      </c>
      <c r="R274" s="110">
        <f t="shared" si="149"/>
        <v>2648237.64</v>
      </c>
      <c r="S274" s="110">
        <f t="shared" si="149"/>
        <v>1252217</v>
      </c>
      <c r="T274" s="111">
        <f>S274/R274</f>
        <v>0.47284918131440801</v>
      </c>
      <c r="U274" s="110">
        <f>SUM(U275:U277)</f>
        <v>1031601.49</v>
      </c>
      <c r="V274" s="111">
        <f>U274/R274</f>
        <v>0.38954264315947112</v>
      </c>
      <c r="W274" s="110">
        <f>SUM(W275:W277)</f>
        <v>1031601.49</v>
      </c>
      <c r="X274" s="112">
        <f>W274/R274</f>
        <v>0.38954264315947112</v>
      </c>
      <c r="Y274" s="75"/>
    </row>
    <row r="275" spans="1:25" s="90" customFormat="1" ht="39" customHeight="1" x14ac:dyDescent="0.2">
      <c r="A275" s="123" t="s">
        <v>130</v>
      </c>
      <c r="B275" s="78" t="s">
        <v>131</v>
      </c>
      <c r="C275" s="79" t="s">
        <v>221</v>
      </c>
      <c r="D275" s="80" t="s">
        <v>223</v>
      </c>
      <c r="E275" s="81" t="s">
        <v>49</v>
      </c>
      <c r="F275" s="82" t="s">
        <v>225</v>
      </c>
      <c r="G275" s="83">
        <v>1</v>
      </c>
      <c r="H275" s="79" t="s">
        <v>52</v>
      </c>
      <c r="I275" s="84" t="s">
        <v>53</v>
      </c>
      <c r="J275" s="85">
        <v>4</v>
      </c>
      <c r="K275" s="86">
        <v>20000</v>
      </c>
      <c r="L275" s="87">
        <v>0</v>
      </c>
      <c r="M275" s="87">
        <v>0</v>
      </c>
      <c r="N275" s="86">
        <f t="shared" si="145"/>
        <v>20000</v>
      </c>
      <c r="O275" s="87">
        <f>20000</f>
        <v>20000</v>
      </c>
      <c r="P275" s="87">
        <v>0</v>
      </c>
      <c r="Q275" s="87">
        <v>0</v>
      </c>
      <c r="R275" s="86">
        <f t="shared" si="146"/>
        <v>0</v>
      </c>
      <c r="S275" s="87">
        <v>0</v>
      </c>
      <c r="T275" s="88">
        <v>0</v>
      </c>
      <c r="U275" s="87">
        <v>0</v>
      </c>
      <c r="V275" s="88">
        <v>0</v>
      </c>
      <c r="W275" s="87">
        <v>0</v>
      </c>
      <c r="X275" s="89">
        <v>0</v>
      </c>
      <c r="Y275" s="65"/>
    </row>
    <row r="276" spans="1:25" s="90" customFormat="1" ht="39" customHeight="1" x14ac:dyDescent="0.2">
      <c r="A276" s="123" t="s">
        <v>130</v>
      </c>
      <c r="B276" s="78" t="s">
        <v>131</v>
      </c>
      <c r="C276" s="79" t="s">
        <v>221</v>
      </c>
      <c r="D276" s="80" t="s">
        <v>223</v>
      </c>
      <c r="E276" s="81" t="s">
        <v>49</v>
      </c>
      <c r="F276" s="82" t="s">
        <v>225</v>
      </c>
      <c r="G276" s="83">
        <v>1</v>
      </c>
      <c r="H276" s="79" t="s">
        <v>134</v>
      </c>
      <c r="I276" s="129" t="s">
        <v>135</v>
      </c>
      <c r="J276" s="85">
        <v>3</v>
      </c>
      <c r="K276" s="86">
        <v>2498980</v>
      </c>
      <c r="L276" s="87">
        <f>9451</f>
        <v>9451</v>
      </c>
      <c r="M276" s="87">
        <v>0</v>
      </c>
      <c r="N276" s="86">
        <f t="shared" si="145"/>
        <v>2508431</v>
      </c>
      <c r="O276" s="87">
        <v>0</v>
      </c>
      <c r="P276" s="87">
        <v>0</v>
      </c>
      <c r="Q276" s="87">
        <v>0</v>
      </c>
      <c r="R276" s="86">
        <f t="shared" si="146"/>
        <v>2508431</v>
      </c>
      <c r="S276" s="87">
        <f>81507.69+91500+42100+160146.9+114823.31+37840.13+312301.4+14750.56+129766.12+127674.25</f>
        <v>1112410.3599999999</v>
      </c>
      <c r="T276" s="88">
        <f t="shared" ref="T276:T277" si="150">S276/R276</f>
        <v>0.4434685905253124</v>
      </c>
      <c r="U276" s="87">
        <f>20881.91+342.36+123640.98+216752.33+15294.14+87928.82+234140.56+36461.5+92438.65+175370.24</f>
        <v>1003251.49</v>
      </c>
      <c r="V276" s="88">
        <f t="shared" ref="V276:V277" si="151">U276/R276</f>
        <v>0.39995179855455459</v>
      </c>
      <c r="W276" s="87">
        <f>19673.58+1550.69+123246.03+117533.77+112418.49+90417.98+80174.17+190427.89+92438.65+175370.24</f>
        <v>1003251.49</v>
      </c>
      <c r="X276" s="89">
        <f t="shared" ref="X276:X277" si="152">W276/R276</f>
        <v>0.39995179855455459</v>
      </c>
      <c r="Y276" s="65"/>
    </row>
    <row r="277" spans="1:25" s="90" customFormat="1" ht="39" customHeight="1" x14ac:dyDescent="0.2">
      <c r="A277" s="123" t="s">
        <v>130</v>
      </c>
      <c r="B277" s="78" t="s">
        <v>131</v>
      </c>
      <c r="C277" s="79" t="s">
        <v>221</v>
      </c>
      <c r="D277" s="80" t="s">
        <v>223</v>
      </c>
      <c r="E277" s="81" t="s">
        <v>49</v>
      </c>
      <c r="F277" s="82" t="s">
        <v>225</v>
      </c>
      <c r="G277" s="83">
        <v>1</v>
      </c>
      <c r="H277" s="131" t="s">
        <v>143</v>
      </c>
      <c r="I277" s="133" t="s">
        <v>144</v>
      </c>
      <c r="J277" s="85">
        <v>4</v>
      </c>
      <c r="K277" s="86">
        <v>0</v>
      </c>
      <c r="L277" s="87">
        <f>403762</f>
        <v>403762</v>
      </c>
      <c r="M277" s="87">
        <v>0</v>
      </c>
      <c r="N277" s="86">
        <f t="shared" si="145"/>
        <v>403762</v>
      </c>
      <c r="O277" s="87">
        <f>263955.36</f>
        <v>263955.36</v>
      </c>
      <c r="P277" s="87">
        <v>0</v>
      </c>
      <c r="Q277" s="87">
        <v>0</v>
      </c>
      <c r="R277" s="86">
        <f t="shared" si="146"/>
        <v>139806.64000000001</v>
      </c>
      <c r="S277" s="87">
        <f>28350+111456.64</f>
        <v>139806.64000000001</v>
      </c>
      <c r="T277" s="88">
        <f t="shared" si="150"/>
        <v>1</v>
      </c>
      <c r="U277" s="87">
        <f>28350</f>
        <v>28350</v>
      </c>
      <c r="V277" s="88">
        <f t="shared" si="151"/>
        <v>0.20278006824282449</v>
      </c>
      <c r="W277" s="87">
        <f>28350</f>
        <v>28350</v>
      </c>
      <c r="X277" s="89">
        <f t="shared" si="152"/>
        <v>0.20278006824282449</v>
      </c>
      <c r="Y277" s="65"/>
    </row>
    <row r="278" spans="1:25" s="65" customFormat="1" ht="9" customHeight="1" x14ac:dyDescent="0.2">
      <c r="A278" s="91"/>
      <c r="B278" s="92"/>
      <c r="C278" s="93"/>
      <c r="D278" s="94"/>
      <c r="E278" s="95"/>
      <c r="F278" s="96"/>
      <c r="G278" s="97"/>
      <c r="H278" s="93"/>
      <c r="I278" s="98"/>
      <c r="J278" s="99"/>
      <c r="K278" s="100"/>
      <c r="L278" s="101"/>
      <c r="M278" s="101"/>
      <c r="N278" s="100"/>
      <c r="O278" s="101"/>
      <c r="P278" s="101"/>
      <c r="Q278" s="101"/>
      <c r="R278" s="100"/>
      <c r="S278" s="101"/>
      <c r="T278" s="102"/>
      <c r="U278" s="101"/>
      <c r="V278" s="102"/>
      <c r="W278" s="101"/>
      <c r="X278" s="103"/>
    </row>
    <row r="279" spans="1:25" s="76" customFormat="1" ht="39" customHeight="1" x14ac:dyDescent="0.2">
      <c r="A279" s="130" t="s">
        <v>130</v>
      </c>
      <c r="B279" s="105" t="s">
        <v>138</v>
      </c>
      <c r="C279" s="106"/>
      <c r="D279" s="107" t="s">
        <v>226</v>
      </c>
      <c r="E279" s="108" t="s">
        <v>49</v>
      </c>
      <c r="F279" s="105" t="s">
        <v>227</v>
      </c>
      <c r="G279" s="109"/>
      <c r="H279" s="109"/>
      <c r="I279" s="109"/>
      <c r="J279" s="106"/>
      <c r="K279" s="110">
        <f>SUM(K280:K282)</f>
        <v>5942470</v>
      </c>
      <c r="L279" s="110">
        <f t="shared" ref="L279:S279" si="153">SUM(L280:L282)</f>
        <v>1362343</v>
      </c>
      <c r="M279" s="110">
        <f t="shared" si="153"/>
        <v>14456</v>
      </c>
      <c r="N279" s="110">
        <f t="shared" si="153"/>
        <v>7290357</v>
      </c>
      <c r="O279" s="110">
        <f t="shared" si="153"/>
        <v>853342.44</v>
      </c>
      <c r="P279" s="110">
        <f t="shared" si="153"/>
        <v>0</v>
      </c>
      <c r="Q279" s="110">
        <f t="shared" si="153"/>
        <v>0</v>
      </c>
      <c r="R279" s="110">
        <f t="shared" si="153"/>
        <v>6437014.5600000005</v>
      </c>
      <c r="S279" s="110">
        <f t="shared" si="153"/>
        <v>2669660.8200000003</v>
      </c>
      <c r="T279" s="111">
        <f t="shared" ref="T279:T282" si="154">S279/R279</f>
        <v>0.41473586786480721</v>
      </c>
      <c r="U279" s="110">
        <f>SUM(U280:U282)</f>
        <v>2126197.56</v>
      </c>
      <c r="V279" s="111">
        <f>U279/R279</f>
        <v>0.33030802403529125</v>
      </c>
      <c r="W279" s="110">
        <f>SUM(W280:W282)</f>
        <v>2118532.56</v>
      </c>
      <c r="X279" s="112">
        <f>W279/R279</f>
        <v>0.32911725462991648</v>
      </c>
      <c r="Y279" s="75"/>
    </row>
    <row r="280" spans="1:25" s="90" customFormat="1" ht="39" customHeight="1" x14ac:dyDescent="0.2">
      <c r="A280" s="123" t="s">
        <v>130</v>
      </c>
      <c r="B280" s="78" t="s">
        <v>131</v>
      </c>
      <c r="C280" s="79" t="s">
        <v>221</v>
      </c>
      <c r="D280" s="80" t="s">
        <v>226</v>
      </c>
      <c r="E280" s="81" t="s">
        <v>49</v>
      </c>
      <c r="F280" s="82" t="s">
        <v>228</v>
      </c>
      <c r="G280" s="83">
        <v>1</v>
      </c>
      <c r="H280" s="79" t="s">
        <v>52</v>
      </c>
      <c r="I280" s="84" t="s">
        <v>53</v>
      </c>
      <c r="J280" s="85">
        <v>4</v>
      </c>
      <c r="K280" s="86">
        <v>50000</v>
      </c>
      <c r="L280" s="87">
        <v>0</v>
      </c>
      <c r="M280" s="87">
        <v>0</v>
      </c>
      <c r="N280" s="86">
        <f t="shared" si="145"/>
        <v>50000</v>
      </c>
      <c r="O280" s="87">
        <f>50000</f>
        <v>50000</v>
      </c>
      <c r="P280" s="87">
        <v>0</v>
      </c>
      <c r="Q280" s="87">
        <v>0</v>
      </c>
      <c r="R280" s="86">
        <f t="shared" si="146"/>
        <v>0</v>
      </c>
      <c r="S280" s="87">
        <v>0</v>
      </c>
      <c r="T280" s="88">
        <v>0</v>
      </c>
      <c r="U280" s="87">
        <v>0</v>
      </c>
      <c r="V280" s="88">
        <v>0</v>
      </c>
      <c r="W280" s="87">
        <v>0</v>
      </c>
      <c r="X280" s="89">
        <v>0</v>
      </c>
      <c r="Y280" s="65"/>
    </row>
    <row r="281" spans="1:25" s="90" customFormat="1" ht="39" customHeight="1" x14ac:dyDescent="0.2">
      <c r="A281" s="123" t="s">
        <v>130</v>
      </c>
      <c r="B281" s="78" t="s">
        <v>131</v>
      </c>
      <c r="C281" s="79" t="s">
        <v>221</v>
      </c>
      <c r="D281" s="80" t="s">
        <v>226</v>
      </c>
      <c r="E281" s="81" t="s">
        <v>49</v>
      </c>
      <c r="F281" s="82" t="s">
        <v>228</v>
      </c>
      <c r="G281" s="83">
        <v>1</v>
      </c>
      <c r="H281" s="79" t="s">
        <v>134</v>
      </c>
      <c r="I281" s="129" t="s">
        <v>135</v>
      </c>
      <c r="J281" s="85">
        <v>3</v>
      </c>
      <c r="K281" s="86">
        <v>5892470</v>
      </c>
      <c r="L281" s="87">
        <f>34468+150000</f>
        <v>184468</v>
      </c>
      <c r="M281" s="87">
        <f>14456</f>
        <v>14456</v>
      </c>
      <c r="N281" s="86">
        <f t="shared" si="145"/>
        <v>6062482</v>
      </c>
      <c r="O281" s="87">
        <v>0</v>
      </c>
      <c r="P281" s="87">
        <v>0</v>
      </c>
      <c r="Q281" s="87">
        <v>0</v>
      </c>
      <c r="R281" s="86">
        <f t="shared" si="146"/>
        <v>6062482</v>
      </c>
      <c r="S281" s="87">
        <f>88427.39+256512.62+104461.44+278264.37+136695.7+109031.24+553813.67+110813+306015.08+351093.75</f>
        <v>2295128.2600000002</v>
      </c>
      <c r="T281" s="88">
        <f t="shared" si="154"/>
        <v>0.37857898134790341</v>
      </c>
      <c r="U281" s="87">
        <f>24777.22+194602.61+157471.92+336757.78+66911.97+155967.83+386920.27+110142.21+221393.38+439752.37</f>
        <v>2094697.56</v>
      </c>
      <c r="V281" s="88">
        <f t="shared" ref="V281:V282" si="155">U281/R281</f>
        <v>0.34551814916728824</v>
      </c>
      <c r="W281" s="87">
        <f>21840.55+197539.28+156256.63+208860.57+143535.3+208166.1+228621.93+268731.45+219712.2+433768.55</f>
        <v>2087032.56</v>
      </c>
      <c r="X281" s="89">
        <f t="shared" ref="X281:X282" si="156">W281/R281</f>
        <v>0.34425381551648321</v>
      </c>
      <c r="Y281" s="65"/>
    </row>
    <row r="282" spans="1:25" s="90" customFormat="1" ht="39" customHeight="1" x14ac:dyDescent="0.2">
      <c r="A282" s="123" t="s">
        <v>130</v>
      </c>
      <c r="B282" s="78" t="s">
        <v>131</v>
      </c>
      <c r="C282" s="79" t="s">
        <v>221</v>
      </c>
      <c r="D282" s="80" t="s">
        <v>226</v>
      </c>
      <c r="E282" s="81" t="s">
        <v>49</v>
      </c>
      <c r="F282" s="82" t="s">
        <v>228</v>
      </c>
      <c r="G282" s="83">
        <v>1</v>
      </c>
      <c r="H282" s="131" t="s">
        <v>143</v>
      </c>
      <c r="I282" s="133" t="s">
        <v>144</v>
      </c>
      <c r="J282" s="85">
        <v>4</v>
      </c>
      <c r="K282" s="86">
        <v>0</v>
      </c>
      <c r="L282" s="87">
        <f>1177875</f>
        <v>1177875</v>
      </c>
      <c r="M282" s="87">
        <v>0</v>
      </c>
      <c r="N282" s="86">
        <f t="shared" si="145"/>
        <v>1177875</v>
      </c>
      <c r="O282" s="87">
        <f>803342.44</f>
        <v>803342.44</v>
      </c>
      <c r="P282" s="87">
        <v>0</v>
      </c>
      <c r="Q282" s="87">
        <v>0</v>
      </c>
      <c r="R282" s="86">
        <f t="shared" si="146"/>
        <v>374532.56000000006</v>
      </c>
      <c r="S282" s="87">
        <f>31500+343032.56</f>
        <v>374532.56</v>
      </c>
      <c r="T282" s="88">
        <f t="shared" si="154"/>
        <v>0.99999999999999989</v>
      </c>
      <c r="U282" s="87">
        <f>31500</f>
        <v>31500</v>
      </c>
      <c r="V282" s="88">
        <f t="shared" si="155"/>
        <v>8.4104837240318961E-2</v>
      </c>
      <c r="W282" s="87">
        <f>31500</f>
        <v>31500</v>
      </c>
      <c r="X282" s="89">
        <f t="shared" si="156"/>
        <v>8.4104837240318961E-2</v>
      </c>
      <c r="Y282" s="65"/>
    </row>
    <row r="283" spans="1:25" s="65" customFormat="1" ht="9" customHeight="1" x14ac:dyDescent="0.2">
      <c r="A283" s="91"/>
      <c r="B283" s="92"/>
      <c r="C283" s="93"/>
      <c r="D283" s="94"/>
      <c r="E283" s="95"/>
      <c r="F283" s="96"/>
      <c r="G283" s="97"/>
      <c r="H283" s="93"/>
      <c r="I283" s="98"/>
      <c r="J283" s="99"/>
      <c r="K283" s="100"/>
      <c r="L283" s="101"/>
      <c r="M283" s="101"/>
      <c r="N283" s="100"/>
      <c r="O283" s="101"/>
      <c r="P283" s="101"/>
      <c r="Q283" s="101"/>
      <c r="R283" s="100"/>
      <c r="S283" s="101"/>
      <c r="T283" s="102"/>
      <c r="U283" s="101"/>
      <c r="V283" s="102"/>
      <c r="W283" s="101"/>
      <c r="X283" s="103"/>
    </row>
    <row r="284" spans="1:25" s="76" customFormat="1" ht="39" customHeight="1" x14ac:dyDescent="0.2">
      <c r="A284" s="130" t="s">
        <v>130</v>
      </c>
      <c r="B284" s="105" t="s">
        <v>138</v>
      </c>
      <c r="C284" s="106"/>
      <c r="D284" s="107" t="s">
        <v>229</v>
      </c>
      <c r="E284" s="108" t="s">
        <v>49</v>
      </c>
      <c r="F284" s="105" t="s">
        <v>230</v>
      </c>
      <c r="G284" s="109"/>
      <c r="H284" s="109"/>
      <c r="I284" s="109"/>
      <c r="J284" s="106"/>
      <c r="K284" s="110">
        <f>SUM(K285:K286)</f>
        <v>1228775</v>
      </c>
      <c r="L284" s="110">
        <f t="shared" ref="L284:S284" si="157">SUM(L285:L286)</f>
        <v>80000</v>
      </c>
      <c r="M284" s="110">
        <f t="shared" si="157"/>
        <v>0</v>
      </c>
      <c r="N284" s="110">
        <f t="shared" si="157"/>
        <v>1308775</v>
      </c>
      <c r="O284" s="110">
        <f t="shared" si="157"/>
        <v>228554.04</v>
      </c>
      <c r="P284" s="110">
        <f t="shared" si="157"/>
        <v>0</v>
      </c>
      <c r="Q284" s="110">
        <f t="shared" si="157"/>
        <v>0</v>
      </c>
      <c r="R284" s="110">
        <f t="shared" si="157"/>
        <v>1080220.96</v>
      </c>
      <c r="S284" s="110">
        <f t="shared" si="157"/>
        <v>134202.16</v>
      </c>
      <c r="T284" s="111">
        <f>S284/R284</f>
        <v>0.12423584152634846</v>
      </c>
      <c r="U284" s="110">
        <f>SUM(U285:U286)</f>
        <v>90931.7</v>
      </c>
      <c r="V284" s="111">
        <f>U284/R284</f>
        <v>8.4178796160370745E-2</v>
      </c>
      <c r="W284" s="110">
        <f>SUM(W285:W286)</f>
        <v>90931.7</v>
      </c>
      <c r="X284" s="112">
        <f>W284/R284</f>
        <v>8.4178796160370745E-2</v>
      </c>
      <c r="Y284" s="75"/>
    </row>
    <row r="285" spans="1:25" s="90" customFormat="1" ht="39" customHeight="1" x14ac:dyDescent="0.2">
      <c r="A285" s="123" t="s">
        <v>130</v>
      </c>
      <c r="B285" s="78" t="s">
        <v>131</v>
      </c>
      <c r="C285" s="79" t="s">
        <v>231</v>
      </c>
      <c r="D285" s="80" t="s">
        <v>229</v>
      </c>
      <c r="E285" s="81" t="s">
        <v>49</v>
      </c>
      <c r="F285" s="82" t="s">
        <v>230</v>
      </c>
      <c r="G285" s="83">
        <v>1</v>
      </c>
      <c r="H285" s="79" t="s">
        <v>134</v>
      </c>
      <c r="I285" s="129" t="s">
        <v>135</v>
      </c>
      <c r="J285" s="85">
        <v>3</v>
      </c>
      <c r="K285" s="86">
        <v>1228775</v>
      </c>
      <c r="L285" s="87">
        <v>0</v>
      </c>
      <c r="M285" s="87">
        <v>0</v>
      </c>
      <c r="N285" s="86">
        <f t="shared" ref="N285:N296" si="158">K285+L285-M285</f>
        <v>1228775</v>
      </c>
      <c r="O285" s="87">
        <f>188554.04</f>
        <v>188554.04</v>
      </c>
      <c r="P285" s="87">
        <v>0</v>
      </c>
      <c r="Q285" s="87">
        <v>0</v>
      </c>
      <c r="R285" s="86">
        <f>N285-O285+P285+Q285</f>
        <v>1040220.96</v>
      </c>
      <c r="S285" s="87">
        <f>6300+65757.84+7600.61+6495.6+41807.16-38539.45+810+800+3170.4</f>
        <v>94202.16</v>
      </c>
      <c r="T285" s="88">
        <f t="shared" ref="T285:T286" si="159">S285/R285</f>
        <v>9.0559759534166673E-2</v>
      </c>
      <c r="U285" s="87">
        <f>66957.78+7600.61+5000+1000+7302.76+1460.55+1610</f>
        <v>90931.7</v>
      </c>
      <c r="V285" s="88">
        <f t="shared" ref="V285:V286" si="160">U285/R285</f>
        <v>8.7415754437403376E-2</v>
      </c>
      <c r="W285" s="87">
        <f>26957.78+47600.61+1165.12+4834.88+7302.76+1460.55+1610</f>
        <v>90931.7</v>
      </c>
      <c r="X285" s="89">
        <f t="shared" ref="X285:X286" si="161">W285/R285</f>
        <v>8.7415754437403376E-2</v>
      </c>
      <c r="Y285" s="65"/>
    </row>
    <row r="286" spans="1:25" s="90" customFormat="1" ht="39" customHeight="1" x14ac:dyDescent="0.2">
      <c r="A286" s="123" t="s">
        <v>130</v>
      </c>
      <c r="B286" s="78" t="s">
        <v>131</v>
      </c>
      <c r="C286" s="79" t="s">
        <v>231</v>
      </c>
      <c r="D286" s="80" t="s">
        <v>229</v>
      </c>
      <c r="E286" s="81" t="s">
        <v>49</v>
      </c>
      <c r="F286" s="82" t="s">
        <v>230</v>
      </c>
      <c r="G286" s="83">
        <v>1</v>
      </c>
      <c r="H286" s="113" t="s">
        <v>61</v>
      </c>
      <c r="I286" s="114" t="s">
        <v>62</v>
      </c>
      <c r="J286" s="85">
        <v>3</v>
      </c>
      <c r="K286" s="86">
        <v>0</v>
      </c>
      <c r="L286" s="87">
        <f>80000</f>
        <v>80000</v>
      </c>
      <c r="M286" s="87">
        <v>0</v>
      </c>
      <c r="N286" s="86">
        <f t="shared" si="158"/>
        <v>80000</v>
      </c>
      <c r="O286" s="87">
        <f>40000</f>
        <v>40000</v>
      </c>
      <c r="P286" s="87">
        <v>0</v>
      </c>
      <c r="Q286" s="87">
        <v>0</v>
      </c>
      <c r="R286" s="86">
        <f t="shared" si="146"/>
        <v>40000</v>
      </c>
      <c r="S286" s="87">
        <f>40000</f>
        <v>40000</v>
      </c>
      <c r="T286" s="88">
        <f t="shared" si="159"/>
        <v>1</v>
      </c>
      <c r="U286" s="87">
        <v>0</v>
      </c>
      <c r="V286" s="88">
        <f t="shared" si="160"/>
        <v>0</v>
      </c>
      <c r="W286" s="87">
        <v>0</v>
      </c>
      <c r="X286" s="89">
        <f t="shared" si="161"/>
        <v>0</v>
      </c>
      <c r="Y286" s="65"/>
    </row>
    <row r="287" spans="1:25" s="65" customFormat="1" ht="9" customHeight="1" x14ac:dyDescent="0.2">
      <c r="A287" s="91"/>
      <c r="B287" s="92"/>
      <c r="C287" s="93"/>
      <c r="D287" s="94"/>
      <c r="E287" s="95"/>
      <c r="F287" s="96"/>
      <c r="G287" s="97"/>
      <c r="H287" s="93"/>
      <c r="I287" s="98"/>
      <c r="J287" s="99"/>
      <c r="K287" s="100"/>
      <c r="L287" s="101"/>
      <c r="M287" s="101"/>
      <c r="N287" s="100"/>
      <c r="O287" s="101"/>
      <c r="P287" s="101"/>
      <c r="Q287" s="101"/>
      <c r="R287" s="100"/>
      <c r="S287" s="101"/>
      <c r="T287" s="102"/>
      <c r="U287" s="101"/>
      <c r="V287" s="102"/>
      <c r="W287" s="101"/>
      <c r="X287" s="103"/>
    </row>
    <row r="288" spans="1:25" s="76" customFormat="1" ht="39" customHeight="1" x14ac:dyDescent="0.2">
      <c r="A288" s="130" t="s">
        <v>130</v>
      </c>
      <c r="B288" s="105" t="s">
        <v>138</v>
      </c>
      <c r="C288" s="106"/>
      <c r="D288" s="107" t="s">
        <v>232</v>
      </c>
      <c r="E288" s="108" t="s">
        <v>49</v>
      </c>
      <c r="F288" s="105" t="s">
        <v>233</v>
      </c>
      <c r="G288" s="109"/>
      <c r="H288" s="109"/>
      <c r="I288" s="109"/>
      <c r="J288" s="106"/>
      <c r="K288" s="110">
        <f>K289</f>
        <v>11880</v>
      </c>
      <c r="L288" s="110">
        <f t="shared" ref="L288:S288" si="162">L289</f>
        <v>0</v>
      </c>
      <c r="M288" s="110">
        <f t="shared" si="162"/>
        <v>0</v>
      </c>
      <c r="N288" s="110">
        <f t="shared" si="162"/>
        <v>11880</v>
      </c>
      <c r="O288" s="110">
        <f t="shared" si="162"/>
        <v>0</v>
      </c>
      <c r="P288" s="110">
        <f t="shared" si="162"/>
        <v>0</v>
      </c>
      <c r="Q288" s="110">
        <f t="shared" si="162"/>
        <v>0</v>
      </c>
      <c r="R288" s="110">
        <f t="shared" si="162"/>
        <v>11880</v>
      </c>
      <c r="S288" s="110">
        <f t="shared" si="162"/>
        <v>0</v>
      </c>
      <c r="T288" s="111">
        <f>S288/R288</f>
        <v>0</v>
      </c>
      <c r="U288" s="110">
        <f>U289</f>
        <v>0</v>
      </c>
      <c r="V288" s="111">
        <f>U288/R288</f>
        <v>0</v>
      </c>
      <c r="W288" s="110">
        <f>W289</f>
        <v>0</v>
      </c>
      <c r="X288" s="112">
        <f>W288/R288</f>
        <v>0</v>
      </c>
      <c r="Y288" s="75"/>
    </row>
    <row r="289" spans="1:25" s="90" customFormat="1" ht="39" customHeight="1" x14ac:dyDescent="0.2">
      <c r="A289" s="123" t="s">
        <v>130</v>
      </c>
      <c r="B289" s="78" t="s">
        <v>131</v>
      </c>
      <c r="C289" s="79" t="s">
        <v>231</v>
      </c>
      <c r="D289" s="80" t="s">
        <v>232</v>
      </c>
      <c r="E289" s="81" t="s">
        <v>49</v>
      </c>
      <c r="F289" s="82" t="s">
        <v>233</v>
      </c>
      <c r="G289" s="83">
        <v>1</v>
      </c>
      <c r="H289" s="79" t="s">
        <v>134</v>
      </c>
      <c r="I289" s="129" t="s">
        <v>135</v>
      </c>
      <c r="J289" s="85">
        <v>3</v>
      </c>
      <c r="K289" s="86">
        <v>11880</v>
      </c>
      <c r="L289" s="87">
        <v>0</v>
      </c>
      <c r="M289" s="87">
        <v>0</v>
      </c>
      <c r="N289" s="86">
        <f t="shared" si="158"/>
        <v>11880</v>
      </c>
      <c r="O289" s="87">
        <v>0</v>
      </c>
      <c r="P289" s="87">
        <v>0</v>
      </c>
      <c r="Q289" s="87">
        <v>0</v>
      </c>
      <c r="R289" s="86">
        <f t="shared" si="146"/>
        <v>11880</v>
      </c>
      <c r="S289" s="87">
        <v>0</v>
      </c>
      <c r="T289" s="88">
        <f>S289/R289</f>
        <v>0</v>
      </c>
      <c r="U289" s="87">
        <v>0</v>
      </c>
      <c r="V289" s="88">
        <f t="shared" ref="V289:V342" si="163">U289/R289</f>
        <v>0</v>
      </c>
      <c r="W289" s="87">
        <v>0</v>
      </c>
      <c r="X289" s="89">
        <f t="shared" si="147"/>
        <v>0</v>
      </c>
      <c r="Y289" s="65"/>
    </row>
    <row r="290" spans="1:25" s="65" customFormat="1" ht="9" customHeight="1" x14ac:dyDescent="0.2">
      <c r="A290" s="91"/>
      <c r="B290" s="92"/>
      <c r="C290" s="93"/>
      <c r="D290" s="94"/>
      <c r="E290" s="95"/>
      <c r="F290" s="96"/>
      <c r="G290" s="97"/>
      <c r="H290" s="93"/>
      <c r="I290" s="98"/>
      <c r="J290" s="99"/>
      <c r="K290" s="100"/>
      <c r="L290" s="101"/>
      <c r="M290" s="101"/>
      <c r="N290" s="100"/>
      <c r="O290" s="101"/>
      <c r="P290" s="101"/>
      <c r="Q290" s="101"/>
      <c r="R290" s="100"/>
      <c r="S290" s="101"/>
      <c r="T290" s="102"/>
      <c r="U290" s="101"/>
      <c r="V290" s="102"/>
      <c r="W290" s="101"/>
      <c r="X290" s="103"/>
    </row>
    <row r="291" spans="1:25" s="76" customFormat="1" ht="39" customHeight="1" x14ac:dyDescent="0.2">
      <c r="A291" s="130" t="s">
        <v>130</v>
      </c>
      <c r="B291" s="105" t="s">
        <v>138</v>
      </c>
      <c r="C291" s="106"/>
      <c r="D291" s="107" t="s">
        <v>234</v>
      </c>
      <c r="E291" s="108" t="s">
        <v>49</v>
      </c>
      <c r="F291" s="105" t="s">
        <v>235</v>
      </c>
      <c r="G291" s="109"/>
      <c r="H291" s="109"/>
      <c r="I291" s="109"/>
      <c r="J291" s="106"/>
      <c r="K291" s="110">
        <f>K292</f>
        <v>84000</v>
      </c>
      <c r="L291" s="110">
        <f t="shared" ref="L291:S291" si="164">L292</f>
        <v>8175</v>
      </c>
      <c r="M291" s="110">
        <f t="shared" si="164"/>
        <v>0</v>
      </c>
      <c r="N291" s="110">
        <f t="shared" si="164"/>
        <v>92175</v>
      </c>
      <c r="O291" s="110">
        <f t="shared" si="164"/>
        <v>10000</v>
      </c>
      <c r="P291" s="110">
        <f t="shared" si="164"/>
        <v>0</v>
      </c>
      <c r="Q291" s="110">
        <f t="shared" si="164"/>
        <v>0</v>
      </c>
      <c r="R291" s="110">
        <f t="shared" si="164"/>
        <v>82175</v>
      </c>
      <c r="S291" s="110">
        <f t="shared" si="164"/>
        <v>6671.09</v>
      </c>
      <c r="T291" s="111">
        <f>S291/R291</f>
        <v>8.118150289017341E-2</v>
      </c>
      <c r="U291" s="110">
        <f>U292</f>
        <v>6671.09</v>
      </c>
      <c r="V291" s="111">
        <f>U291/R291</f>
        <v>8.118150289017341E-2</v>
      </c>
      <c r="W291" s="110">
        <f>W292</f>
        <v>6671.09</v>
      </c>
      <c r="X291" s="112">
        <f>W291/R291</f>
        <v>8.118150289017341E-2</v>
      </c>
      <c r="Y291" s="75"/>
    </row>
    <row r="292" spans="1:25" s="90" customFormat="1" ht="39" customHeight="1" x14ac:dyDescent="0.2">
      <c r="A292" s="123" t="s">
        <v>130</v>
      </c>
      <c r="B292" s="78" t="s">
        <v>131</v>
      </c>
      <c r="C292" s="79" t="s">
        <v>231</v>
      </c>
      <c r="D292" s="80" t="s">
        <v>234</v>
      </c>
      <c r="E292" s="81" t="s">
        <v>49</v>
      </c>
      <c r="F292" s="82" t="s">
        <v>235</v>
      </c>
      <c r="G292" s="83">
        <v>1</v>
      </c>
      <c r="H292" s="79" t="s">
        <v>134</v>
      </c>
      <c r="I292" s="129" t="s">
        <v>135</v>
      </c>
      <c r="J292" s="85">
        <v>3</v>
      </c>
      <c r="K292" s="86">
        <v>84000</v>
      </c>
      <c r="L292" s="87">
        <f>8175</f>
        <v>8175</v>
      </c>
      <c r="M292" s="87">
        <v>0</v>
      </c>
      <c r="N292" s="86">
        <f t="shared" si="158"/>
        <v>92175</v>
      </c>
      <c r="O292" s="87">
        <f>10000</f>
        <v>10000</v>
      </c>
      <c r="P292" s="87">
        <v>0</v>
      </c>
      <c r="Q292" s="87">
        <v>0</v>
      </c>
      <c r="R292" s="86">
        <f t="shared" si="146"/>
        <v>82175</v>
      </c>
      <c r="S292" s="87">
        <f>4545.09+1326+800</f>
        <v>6671.09</v>
      </c>
      <c r="T292" s="88">
        <f>S292/R292</f>
        <v>8.118150289017341E-2</v>
      </c>
      <c r="U292" s="87">
        <f>4545.09+1326+800</f>
        <v>6671.09</v>
      </c>
      <c r="V292" s="88">
        <f t="shared" si="163"/>
        <v>8.118150289017341E-2</v>
      </c>
      <c r="W292" s="87">
        <f>4545.09+1326+800</f>
        <v>6671.09</v>
      </c>
      <c r="X292" s="89">
        <f t="shared" si="147"/>
        <v>8.118150289017341E-2</v>
      </c>
      <c r="Y292" s="65"/>
    </row>
    <row r="293" spans="1:25" s="65" customFormat="1" ht="9" customHeight="1" x14ac:dyDescent="0.2">
      <c r="A293" s="91"/>
      <c r="B293" s="92"/>
      <c r="C293" s="93"/>
      <c r="D293" s="94"/>
      <c r="E293" s="95"/>
      <c r="F293" s="96"/>
      <c r="G293" s="97"/>
      <c r="H293" s="93"/>
      <c r="I293" s="98"/>
      <c r="J293" s="99"/>
      <c r="K293" s="100"/>
      <c r="L293" s="101"/>
      <c r="M293" s="101"/>
      <c r="N293" s="100"/>
      <c r="O293" s="101"/>
      <c r="P293" s="101"/>
      <c r="Q293" s="101"/>
      <c r="R293" s="100"/>
      <c r="S293" s="101"/>
      <c r="T293" s="102"/>
      <c r="U293" s="101"/>
      <c r="V293" s="102"/>
      <c r="W293" s="101"/>
      <c r="X293" s="103"/>
    </row>
    <row r="294" spans="1:25" s="76" customFormat="1" ht="39" customHeight="1" x14ac:dyDescent="0.2">
      <c r="A294" s="130" t="s">
        <v>130</v>
      </c>
      <c r="B294" s="105" t="s">
        <v>138</v>
      </c>
      <c r="C294" s="106"/>
      <c r="D294" s="107" t="s">
        <v>236</v>
      </c>
      <c r="E294" s="108" t="s">
        <v>49</v>
      </c>
      <c r="F294" s="105" t="s">
        <v>237</v>
      </c>
      <c r="G294" s="109"/>
      <c r="H294" s="109"/>
      <c r="I294" s="109"/>
      <c r="J294" s="106"/>
      <c r="K294" s="110">
        <f>SUM(K295:K296)</f>
        <v>1137660</v>
      </c>
      <c r="L294" s="110">
        <f t="shared" ref="L294:S294" si="165">SUM(L295:L296)</f>
        <v>0</v>
      </c>
      <c r="M294" s="110">
        <f t="shared" si="165"/>
        <v>300000</v>
      </c>
      <c r="N294" s="110">
        <f t="shared" si="165"/>
        <v>837660</v>
      </c>
      <c r="O294" s="110">
        <f t="shared" si="165"/>
        <v>0</v>
      </c>
      <c r="P294" s="110">
        <f t="shared" si="165"/>
        <v>0</v>
      </c>
      <c r="Q294" s="110">
        <f t="shared" si="165"/>
        <v>0</v>
      </c>
      <c r="R294" s="110">
        <f t="shared" si="165"/>
        <v>837660</v>
      </c>
      <c r="S294" s="110">
        <f t="shared" si="165"/>
        <v>126116.54</v>
      </c>
      <c r="T294" s="111">
        <f>S294/R294</f>
        <v>0.15055815008475992</v>
      </c>
      <c r="U294" s="110">
        <f>SUM(U295:U296)</f>
        <v>120634.14</v>
      </c>
      <c r="V294" s="111">
        <f>U294/R294</f>
        <v>0.14401325119977079</v>
      </c>
      <c r="W294" s="110">
        <f>SUM(W295:W296)</f>
        <v>120634.14</v>
      </c>
      <c r="X294" s="112">
        <f>W294/R294</f>
        <v>0.14401325119977079</v>
      </c>
      <c r="Y294" s="75"/>
    </row>
    <row r="295" spans="1:25" s="90" customFormat="1" ht="39" customHeight="1" x14ac:dyDescent="0.2">
      <c r="A295" s="123" t="s">
        <v>130</v>
      </c>
      <c r="B295" s="78" t="s">
        <v>131</v>
      </c>
      <c r="C295" s="79" t="s">
        <v>231</v>
      </c>
      <c r="D295" s="80" t="s">
        <v>236</v>
      </c>
      <c r="E295" s="81" t="s">
        <v>49</v>
      </c>
      <c r="F295" s="82" t="s">
        <v>237</v>
      </c>
      <c r="G295" s="83">
        <v>1</v>
      </c>
      <c r="H295" s="79" t="s">
        <v>238</v>
      </c>
      <c r="I295" s="84" t="s">
        <v>239</v>
      </c>
      <c r="J295" s="85">
        <v>3</v>
      </c>
      <c r="K295" s="86">
        <v>74060</v>
      </c>
      <c r="L295" s="87">
        <v>0</v>
      </c>
      <c r="M295" s="87">
        <v>0</v>
      </c>
      <c r="N295" s="86">
        <f t="shared" si="158"/>
        <v>74060</v>
      </c>
      <c r="O295" s="87">
        <v>0</v>
      </c>
      <c r="P295" s="87">
        <v>0</v>
      </c>
      <c r="Q295" s="87">
        <v>0</v>
      </c>
      <c r="R295" s="86">
        <f t="shared" si="146"/>
        <v>74060</v>
      </c>
      <c r="S295" s="87">
        <v>0</v>
      </c>
      <c r="T295" s="88">
        <f>S295/R295</f>
        <v>0</v>
      </c>
      <c r="U295" s="87">
        <v>0</v>
      </c>
      <c r="V295" s="88">
        <f>U295/R295</f>
        <v>0</v>
      </c>
      <c r="W295" s="87">
        <v>0</v>
      </c>
      <c r="X295" s="89">
        <f>W295/R295</f>
        <v>0</v>
      </c>
      <c r="Y295" s="65"/>
    </row>
    <row r="296" spans="1:25" s="90" customFormat="1" ht="39" customHeight="1" x14ac:dyDescent="0.2">
      <c r="A296" s="123" t="s">
        <v>130</v>
      </c>
      <c r="B296" s="78" t="s">
        <v>131</v>
      </c>
      <c r="C296" s="79" t="s">
        <v>231</v>
      </c>
      <c r="D296" s="80" t="s">
        <v>236</v>
      </c>
      <c r="E296" s="81" t="s">
        <v>49</v>
      </c>
      <c r="F296" s="82" t="s">
        <v>237</v>
      </c>
      <c r="G296" s="83">
        <v>1</v>
      </c>
      <c r="H296" s="79" t="s">
        <v>134</v>
      </c>
      <c r="I296" s="129" t="s">
        <v>135</v>
      </c>
      <c r="J296" s="85">
        <v>3</v>
      </c>
      <c r="K296" s="86">
        <v>1063600</v>
      </c>
      <c r="L296" s="87">
        <v>0</v>
      </c>
      <c r="M296" s="87">
        <f>100000+200000</f>
        <v>300000</v>
      </c>
      <c r="N296" s="86">
        <f t="shared" si="158"/>
        <v>763600</v>
      </c>
      <c r="O296" s="87">
        <v>0</v>
      </c>
      <c r="P296" s="87">
        <v>0</v>
      </c>
      <c r="Q296" s="87">
        <v>0</v>
      </c>
      <c r="R296" s="86">
        <f t="shared" si="146"/>
        <v>763600</v>
      </c>
      <c r="S296" s="87">
        <f>12965.8+38044.33+68481.9-4906.78+3000-2729.57+11260.86</f>
        <v>126116.54</v>
      </c>
      <c r="T296" s="88">
        <f>S296/R296</f>
        <v>0.16516047668936615</v>
      </c>
      <c r="U296" s="87">
        <f>12428.6+38487.97+54723.06-4906.78+7185+955.43+11760.86</f>
        <v>120634.14</v>
      </c>
      <c r="V296" s="88">
        <f>U296/R296</f>
        <v>0.15798080146673651</v>
      </c>
      <c r="W296" s="87">
        <f>4091.61+46824.96+50223.06+4500-4906.78+7185+955.43+11760.86</f>
        <v>120634.14</v>
      </c>
      <c r="X296" s="89">
        <f>W296/R296</f>
        <v>0.15798080146673651</v>
      </c>
      <c r="Y296" s="65"/>
    </row>
    <row r="297" spans="1:25" s="65" customFormat="1" ht="9" customHeight="1" x14ac:dyDescent="0.2">
      <c r="A297" s="91"/>
      <c r="B297" s="92"/>
      <c r="C297" s="93"/>
      <c r="D297" s="94"/>
      <c r="E297" s="95"/>
      <c r="F297" s="96"/>
      <c r="G297" s="97"/>
      <c r="H297" s="93"/>
      <c r="I297" s="98"/>
      <c r="J297" s="99"/>
      <c r="K297" s="100"/>
      <c r="L297" s="101"/>
      <c r="M297" s="101"/>
      <c r="N297" s="100"/>
      <c r="O297" s="101"/>
      <c r="P297" s="101"/>
      <c r="Q297" s="101"/>
      <c r="R297" s="100"/>
      <c r="S297" s="101"/>
      <c r="T297" s="102"/>
      <c r="U297" s="101"/>
      <c r="V297" s="102"/>
      <c r="W297" s="101"/>
      <c r="X297" s="103"/>
    </row>
    <row r="298" spans="1:25" s="76" customFormat="1" ht="39" customHeight="1" x14ac:dyDescent="0.2">
      <c r="A298" s="130" t="s">
        <v>130</v>
      </c>
      <c r="B298" s="105" t="s">
        <v>138</v>
      </c>
      <c r="C298" s="106"/>
      <c r="D298" s="107" t="s">
        <v>240</v>
      </c>
      <c r="E298" s="108" t="s">
        <v>49</v>
      </c>
      <c r="F298" s="105" t="s">
        <v>241</v>
      </c>
      <c r="G298" s="109"/>
      <c r="H298" s="109"/>
      <c r="I298" s="109"/>
      <c r="J298" s="106"/>
      <c r="K298" s="110">
        <f>SUM(K299:K300)</f>
        <v>986285</v>
      </c>
      <c r="L298" s="110">
        <f t="shared" ref="L298:S298" si="166">SUM(L299:L300)</f>
        <v>242191</v>
      </c>
      <c r="M298" s="110">
        <f t="shared" si="166"/>
        <v>0</v>
      </c>
      <c r="N298" s="110">
        <f t="shared" si="166"/>
        <v>1228476</v>
      </c>
      <c r="O298" s="110">
        <f t="shared" si="166"/>
        <v>0</v>
      </c>
      <c r="P298" s="110">
        <f t="shared" si="166"/>
        <v>0</v>
      </c>
      <c r="Q298" s="110">
        <f t="shared" si="166"/>
        <v>0</v>
      </c>
      <c r="R298" s="110">
        <f t="shared" si="166"/>
        <v>1228476</v>
      </c>
      <c r="S298" s="110">
        <f t="shared" si="166"/>
        <v>670716.41</v>
      </c>
      <c r="T298" s="111">
        <f>S298/R298</f>
        <v>0.54597436986965964</v>
      </c>
      <c r="U298" s="110">
        <f>SUM(U299:U300)</f>
        <v>606115.11</v>
      </c>
      <c r="V298" s="111">
        <f>U298/R298</f>
        <v>0.49338783175251288</v>
      </c>
      <c r="W298" s="110">
        <f>SUM(W299:W300)</f>
        <v>603975.29</v>
      </c>
      <c r="X298" s="112">
        <f>W298/R298</f>
        <v>0.49164598250189667</v>
      </c>
      <c r="Y298" s="75"/>
    </row>
    <row r="299" spans="1:25" s="90" customFormat="1" ht="39" customHeight="1" x14ac:dyDescent="0.2">
      <c r="A299" s="123" t="s">
        <v>130</v>
      </c>
      <c r="B299" s="78" t="s">
        <v>131</v>
      </c>
      <c r="C299" s="79" t="s">
        <v>242</v>
      </c>
      <c r="D299" s="80" t="s">
        <v>240</v>
      </c>
      <c r="E299" s="81" t="s">
        <v>49</v>
      </c>
      <c r="F299" s="82" t="s">
        <v>243</v>
      </c>
      <c r="G299" s="83">
        <v>1</v>
      </c>
      <c r="H299" s="79" t="s">
        <v>134</v>
      </c>
      <c r="I299" s="129" t="s">
        <v>135</v>
      </c>
      <c r="J299" s="85">
        <v>3</v>
      </c>
      <c r="K299" s="86">
        <v>986285</v>
      </c>
      <c r="L299" s="87">
        <f>50000</f>
        <v>50000</v>
      </c>
      <c r="M299" s="87">
        <v>0</v>
      </c>
      <c r="N299" s="86">
        <f>K299+L299-M299</f>
        <v>1036285</v>
      </c>
      <c r="O299" s="87">
        <v>0</v>
      </c>
      <c r="P299" s="87">
        <v>0</v>
      </c>
      <c r="Q299" s="87">
        <v>0</v>
      </c>
      <c r="R299" s="86">
        <f>N299-O299+P299+Q299</f>
        <v>1036285</v>
      </c>
      <c r="S299" s="87">
        <f>65604.78+33677.07+12419.98+65214.14+93262.41+10503.5+31548.51+3733.16+62007.49+102710.97</f>
        <v>480682.01</v>
      </c>
      <c r="T299" s="88">
        <f>S299/R299</f>
        <v>0.46385117028616646</v>
      </c>
      <c r="U299" s="87">
        <f>18338.78+41245.98+51109.98+47514.64+32557.78+86838+14954.88+2920+59830.07+61640.3</f>
        <v>416950.41000000003</v>
      </c>
      <c r="V299" s="88">
        <f>U299/R299</f>
        <v>0.40235110032471766</v>
      </c>
      <c r="W299" s="87">
        <f>51442.76+38699.98+37815.75+46249.39+103397.28+11078.55+6796.33+47934.65+73535.72</f>
        <v>416950.41000000003</v>
      </c>
      <c r="X299" s="89">
        <f>W299/R299</f>
        <v>0.40235110032471766</v>
      </c>
      <c r="Y299" s="65"/>
    </row>
    <row r="300" spans="1:25" s="90" customFormat="1" ht="39" customHeight="1" x14ac:dyDescent="0.2">
      <c r="A300" s="123" t="s">
        <v>130</v>
      </c>
      <c r="B300" s="78" t="s">
        <v>131</v>
      </c>
      <c r="C300" s="79" t="s">
        <v>242</v>
      </c>
      <c r="D300" s="80" t="s">
        <v>240</v>
      </c>
      <c r="E300" s="81" t="s">
        <v>49</v>
      </c>
      <c r="F300" s="82" t="s">
        <v>243</v>
      </c>
      <c r="G300" s="83">
        <v>1</v>
      </c>
      <c r="H300" s="131" t="s">
        <v>143</v>
      </c>
      <c r="I300" s="133" t="s">
        <v>144</v>
      </c>
      <c r="J300" s="85">
        <v>3</v>
      </c>
      <c r="K300" s="86">
        <v>0</v>
      </c>
      <c r="L300" s="87">
        <f>192191</f>
        <v>192191</v>
      </c>
      <c r="M300" s="87">
        <v>0</v>
      </c>
      <c r="N300" s="86">
        <f>K300+L300-M300</f>
        <v>192191</v>
      </c>
      <c r="O300" s="87">
        <f>11610.91-11610.91</f>
        <v>0</v>
      </c>
      <c r="P300" s="87">
        <v>0</v>
      </c>
      <c r="Q300" s="87">
        <v>0</v>
      </c>
      <c r="R300" s="86">
        <f>N300-O300+P300+Q300</f>
        <v>192191</v>
      </c>
      <c r="S300" s="87">
        <f>70882.39+59721.66+40943.05+9031.14+1.85+1506.01+6315.55+1632.75</f>
        <v>190034.4</v>
      </c>
      <c r="T300" s="88">
        <f>S300/R300</f>
        <v>0.98877887101893425</v>
      </c>
      <c r="U300" s="87">
        <f>128161.95+3440.88+32010.96+16096.6+7080.96+2373.35</f>
        <v>189164.69999999998</v>
      </c>
      <c r="V300" s="88">
        <f>U300/R300</f>
        <v>0.98425368513614053</v>
      </c>
      <c r="W300" s="87">
        <f>128161.95+3440.88+32010.96+16096.6+5212.48+2102.01</f>
        <v>187024.88</v>
      </c>
      <c r="X300" s="89">
        <f>W300/R300</f>
        <v>0.97311986513416349</v>
      </c>
      <c r="Y300" s="65"/>
    </row>
    <row r="301" spans="1:25" s="65" customFormat="1" ht="9" customHeight="1" x14ac:dyDescent="0.2">
      <c r="A301" s="91"/>
      <c r="B301" s="92"/>
      <c r="C301" s="93"/>
      <c r="D301" s="94"/>
      <c r="E301" s="95"/>
      <c r="F301" s="96"/>
      <c r="G301" s="97"/>
      <c r="H301" s="93"/>
      <c r="I301" s="98"/>
      <c r="J301" s="99"/>
      <c r="K301" s="100"/>
      <c r="L301" s="101"/>
      <c r="M301" s="101"/>
      <c r="N301" s="100"/>
      <c r="O301" s="101"/>
      <c r="P301" s="101"/>
      <c r="Q301" s="101"/>
      <c r="R301" s="100"/>
      <c r="S301" s="101"/>
      <c r="T301" s="102"/>
      <c r="U301" s="101"/>
      <c r="V301" s="102"/>
      <c r="W301" s="101"/>
      <c r="X301" s="103"/>
    </row>
    <row r="302" spans="1:25" s="76" customFormat="1" ht="39" customHeight="1" x14ac:dyDescent="0.2">
      <c r="A302" s="130" t="s">
        <v>130</v>
      </c>
      <c r="B302" s="105" t="s">
        <v>138</v>
      </c>
      <c r="C302" s="106"/>
      <c r="D302" s="107" t="s">
        <v>244</v>
      </c>
      <c r="E302" s="108" t="s">
        <v>49</v>
      </c>
      <c r="F302" s="105" t="s">
        <v>245</v>
      </c>
      <c r="G302" s="109"/>
      <c r="H302" s="109"/>
      <c r="I302" s="109"/>
      <c r="J302" s="106"/>
      <c r="K302" s="110">
        <f>K303</f>
        <v>1089755</v>
      </c>
      <c r="L302" s="110">
        <f t="shared" ref="L302:S302" si="167">L303</f>
        <v>0</v>
      </c>
      <c r="M302" s="110">
        <f t="shared" si="167"/>
        <v>0</v>
      </c>
      <c r="N302" s="110">
        <f t="shared" si="167"/>
        <v>1089755</v>
      </c>
      <c r="O302" s="110">
        <f t="shared" si="167"/>
        <v>0</v>
      </c>
      <c r="P302" s="110">
        <f t="shared" si="167"/>
        <v>0</v>
      </c>
      <c r="Q302" s="110">
        <f t="shared" si="167"/>
        <v>0</v>
      </c>
      <c r="R302" s="110">
        <f t="shared" si="167"/>
        <v>1089755</v>
      </c>
      <c r="S302" s="110">
        <f t="shared" si="167"/>
        <v>701848.22000000009</v>
      </c>
      <c r="T302" s="111">
        <f>S302/R302</f>
        <v>0.64404221132272854</v>
      </c>
      <c r="U302" s="110">
        <f>U303</f>
        <v>628031.94999999995</v>
      </c>
      <c r="V302" s="111">
        <f t="shared" ref="V302" si="168">U302/R302</f>
        <v>0.57630563750567787</v>
      </c>
      <c r="W302" s="110">
        <f>W303</f>
        <v>611031.94999999995</v>
      </c>
      <c r="X302" s="112">
        <f t="shared" ref="X302:X303" si="169">W302/R302</f>
        <v>0.5607058008451441</v>
      </c>
      <c r="Y302" s="75"/>
    </row>
    <row r="303" spans="1:25" s="90" customFormat="1" ht="39" customHeight="1" x14ac:dyDescent="0.2">
      <c r="A303" s="123" t="s">
        <v>130</v>
      </c>
      <c r="B303" s="78" t="s">
        <v>131</v>
      </c>
      <c r="C303" s="79" t="s">
        <v>246</v>
      </c>
      <c r="D303" s="80" t="s">
        <v>244</v>
      </c>
      <c r="E303" s="81" t="s">
        <v>49</v>
      </c>
      <c r="F303" s="82" t="s">
        <v>245</v>
      </c>
      <c r="G303" s="83">
        <v>1</v>
      </c>
      <c r="H303" s="79" t="s">
        <v>134</v>
      </c>
      <c r="I303" s="129" t="s">
        <v>135</v>
      </c>
      <c r="J303" s="85">
        <v>3</v>
      </c>
      <c r="K303" s="86">
        <v>1089755</v>
      </c>
      <c r="L303" s="87">
        <v>0</v>
      </c>
      <c r="M303" s="87">
        <v>0</v>
      </c>
      <c r="N303" s="86">
        <f t="shared" ref="N303" si="170">K303+L303-M303</f>
        <v>1089755</v>
      </c>
      <c r="O303" s="87">
        <v>0</v>
      </c>
      <c r="P303" s="87">
        <v>0</v>
      </c>
      <c r="Q303" s="87">
        <v>0</v>
      </c>
      <c r="R303" s="86">
        <f t="shared" ref="R303" si="171">N303-O303+P303+Q303</f>
        <v>1089755</v>
      </c>
      <c r="S303" s="87">
        <f>42291.67+43101.67+2730+154583.34+42291.67+66246.4+209162.32+35947.92+17000+88493.23</f>
        <v>701848.22000000009</v>
      </c>
      <c r="T303" s="88">
        <f>S303/R303</f>
        <v>0.64404221132272854</v>
      </c>
      <c r="U303" s="87">
        <f>84583.34+152474.34+42291.67+46878.4+186213.08+2730+35947.92+76913.2</f>
        <v>628031.94999999995</v>
      </c>
      <c r="V303" s="88">
        <f t="shared" si="163"/>
        <v>0.57630563750567787</v>
      </c>
      <c r="W303" s="87">
        <f>84583.34+152474.34+42291.67+46878.4+114213.08+74730+35947.92+59913.2</f>
        <v>611031.94999999995</v>
      </c>
      <c r="X303" s="89">
        <f t="shared" si="169"/>
        <v>0.5607058008451441</v>
      </c>
      <c r="Y303" s="65"/>
    </row>
    <row r="304" spans="1:25" s="65" customFormat="1" ht="9" customHeight="1" x14ac:dyDescent="0.2">
      <c r="A304" s="91"/>
      <c r="B304" s="92"/>
      <c r="C304" s="93"/>
      <c r="D304" s="94"/>
      <c r="E304" s="95"/>
      <c r="F304" s="96"/>
      <c r="G304" s="97"/>
      <c r="H304" s="93"/>
      <c r="I304" s="98"/>
      <c r="J304" s="99"/>
      <c r="K304" s="100"/>
      <c r="L304" s="101"/>
      <c r="M304" s="101"/>
      <c r="N304" s="100"/>
      <c r="O304" s="101"/>
      <c r="P304" s="101"/>
      <c r="Q304" s="101"/>
      <c r="R304" s="100"/>
      <c r="S304" s="101"/>
      <c r="T304" s="102"/>
      <c r="U304" s="101"/>
      <c r="V304" s="102"/>
      <c r="W304" s="101"/>
      <c r="X304" s="103"/>
    </row>
    <row r="305" spans="1:25" s="76" customFormat="1" ht="39" customHeight="1" x14ac:dyDescent="0.2">
      <c r="A305" s="130" t="s">
        <v>130</v>
      </c>
      <c r="B305" s="105" t="s">
        <v>138</v>
      </c>
      <c r="C305" s="106"/>
      <c r="D305" s="107" t="s">
        <v>247</v>
      </c>
      <c r="E305" s="108" t="s">
        <v>73</v>
      </c>
      <c r="F305" s="105" t="s">
        <v>100</v>
      </c>
      <c r="G305" s="109"/>
      <c r="H305" s="109"/>
      <c r="I305" s="109"/>
      <c r="J305" s="106"/>
      <c r="K305" s="110">
        <f>SUM(K306:K308)</f>
        <v>9570566</v>
      </c>
      <c r="L305" s="110">
        <f t="shared" ref="L305:S305" si="172">SUM(L306:L308)</f>
        <v>1800000</v>
      </c>
      <c r="M305" s="110">
        <f t="shared" si="172"/>
        <v>0</v>
      </c>
      <c r="N305" s="110">
        <f t="shared" si="172"/>
        <v>11370566</v>
      </c>
      <c r="O305" s="110">
        <f t="shared" si="172"/>
        <v>895000</v>
      </c>
      <c r="P305" s="110">
        <f t="shared" si="172"/>
        <v>0</v>
      </c>
      <c r="Q305" s="110">
        <f t="shared" si="172"/>
        <v>0</v>
      </c>
      <c r="R305" s="110">
        <f t="shared" si="172"/>
        <v>10475566</v>
      </c>
      <c r="S305" s="110">
        <f t="shared" si="172"/>
        <v>7720274.6299999999</v>
      </c>
      <c r="T305" s="111">
        <f>S305/R305</f>
        <v>0.73697923625320105</v>
      </c>
      <c r="U305" s="110">
        <f>SUM(U306:U308)</f>
        <v>7690080.5800000001</v>
      </c>
      <c r="V305" s="111">
        <f t="shared" ref="V305" si="173">U305/R305</f>
        <v>0.73409690512188075</v>
      </c>
      <c r="W305" s="110">
        <f>SUM(W306:W308)</f>
        <v>7690080.5800000001</v>
      </c>
      <c r="X305" s="112">
        <f t="shared" ref="X305:X335" si="174">W305/R305</f>
        <v>0.73409690512188075</v>
      </c>
      <c r="Y305" s="75"/>
    </row>
    <row r="306" spans="1:25" s="90" customFormat="1" ht="39" customHeight="1" x14ac:dyDescent="0.2">
      <c r="A306" s="123" t="s">
        <v>130</v>
      </c>
      <c r="B306" s="78" t="s">
        <v>131</v>
      </c>
      <c r="C306" s="79" t="s">
        <v>101</v>
      </c>
      <c r="D306" s="80" t="s">
        <v>247</v>
      </c>
      <c r="E306" s="81" t="s">
        <v>73</v>
      </c>
      <c r="F306" s="82" t="s">
        <v>248</v>
      </c>
      <c r="G306" s="83">
        <v>1</v>
      </c>
      <c r="H306" s="79" t="s">
        <v>76</v>
      </c>
      <c r="I306" s="84" t="s">
        <v>77</v>
      </c>
      <c r="J306" s="85">
        <v>3</v>
      </c>
      <c r="K306" s="86">
        <v>1095630</v>
      </c>
      <c r="L306" s="87">
        <v>0</v>
      </c>
      <c r="M306" s="87">
        <v>0</v>
      </c>
      <c r="N306" s="86">
        <f t="shared" ref="N306:N312" si="175">K306+L306-M306</f>
        <v>1095630</v>
      </c>
      <c r="O306" s="87">
        <v>0</v>
      </c>
      <c r="P306" s="87">
        <v>0</v>
      </c>
      <c r="Q306" s="87">
        <v>0</v>
      </c>
      <c r="R306" s="86">
        <f t="shared" ref="R306:R335" si="176">N306-O306+P306+Q306</f>
        <v>1095630</v>
      </c>
      <c r="S306" s="87">
        <f>530000+200000</f>
        <v>730000</v>
      </c>
      <c r="T306" s="88">
        <f>S306/R306</f>
        <v>0.66628332557523984</v>
      </c>
      <c r="U306" s="87">
        <f>530000+200000</f>
        <v>730000</v>
      </c>
      <c r="V306" s="88">
        <f t="shared" si="163"/>
        <v>0.66628332557523984</v>
      </c>
      <c r="W306" s="87">
        <f>530000+200000</f>
        <v>730000</v>
      </c>
      <c r="X306" s="89">
        <f t="shared" si="174"/>
        <v>0.66628332557523984</v>
      </c>
      <c r="Y306" s="65"/>
    </row>
    <row r="307" spans="1:25" s="90" customFormat="1" ht="39" customHeight="1" x14ac:dyDescent="0.2">
      <c r="A307" s="123" t="s">
        <v>130</v>
      </c>
      <c r="B307" s="78" t="s">
        <v>131</v>
      </c>
      <c r="C307" s="79" t="s">
        <v>101</v>
      </c>
      <c r="D307" s="80" t="s">
        <v>247</v>
      </c>
      <c r="E307" s="81" t="s">
        <v>73</v>
      </c>
      <c r="F307" s="82" t="s">
        <v>248</v>
      </c>
      <c r="G307" s="83">
        <v>1</v>
      </c>
      <c r="H307" s="79" t="s">
        <v>134</v>
      </c>
      <c r="I307" s="129" t="s">
        <v>135</v>
      </c>
      <c r="J307" s="85">
        <v>3</v>
      </c>
      <c r="K307" s="86">
        <v>8474936</v>
      </c>
      <c r="L307" s="87">
        <v>0</v>
      </c>
      <c r="M307" s="87">
        <v>0</v>
      </c>
      <c r="N307" s="86">
        <f t="shared" si="175"/>
        <v>8474936</v>
      </c>
      <c r="O307" s="87">
        <v>0</v>
      </c>
      <c r="P307" s="87">
        <v>0</v>
      </c>
      <c r="Q307" s="87">
        <v>0</v>
      </c>
      <c r="R307" s="86">
        <f t="shared" si="176"/>
        <v>8474936</v>
      </c>
      <c r="S307" s="87">
        <f>572510+901000+884000+890000+360000+704000+893238.58+880526.05</f>
        <v>6085274.6299999999</v>
      </c>
      <c r="T307" s="88">
        <f>S307/R307</f>
        <v>0.71803192732074905</v>
      </c>
      <c r="U307" s="87">
        <f>572510+884146.2+884468.93+882345.93+357690.24-316.69+703444.18+893238.58+880526.05</f>
        <v>6058053.4199999999</v>
      </c>
      <c r="V307" s="88">
        <f t="shared" si="163"/>
        <v>0.71481996088230049</v>
      </c>
      <c r="W307" s="87">
        <f>572510+884146.2+884468.93+882345.93+357373.55+703444.18+893238.58+880526.05</f>
        <v>6058053.4199999999</v>
      </c>
      <c r="X307" s="89">
        <f t="shared" si="174"/>
        <v>0.71481996088230049</v>
      </c>
      <c r="Y307" s="65"/>
    </row>
    <row r="308" spans="1:25" s="90" customFormat="1" ht="39" customHeight="1" x14ac:dyDescent="0.2">
      <c r="A308" s="123" t="s">
        <v>130</v>
      </c>
      <c r="B308" s="78" t="s">
        <v>131</v>
      </c>
      <c r="C308" s="79" t="s">
        <v>101</v>
      </c>
      <c r="D308" s="80" t="s">
        <v>247</v>
      </c>
      <c r="E308" s="81" t="s">
        <v>73</v>
      </c>
      <c r="F308" s="82" t="s">
        <v>248</v>
      </c>
      <c r="G308" s="83">
        <v>1</v>
      </c>
      <c r="H308" s="113" t="s">
        <v>61</v>
      </c>
      <c r="I308" s="114" t="s">
        <v>62</v>
      </c>
      <c r="J308" s="85">
        <v>3</v>
      </c>
      <c r="K308" s="86">
        <v>0</v>
      </c>
      <c r="L308" s="87">
        <f>1800000</f>
        <v>1800000</v>
      </c>
      <c r="M308" s="87">
        <v>0</v>
      </c>
      <c r="N308" s="86">
        <f t="shared" si="175"/>
        <v>1800000</v>
      </c>
      <c r="O308" s="87">
        <f>895000</f>
        <v>895000</v>
      </c>
      <c r="P308" s="87">
        <v>0</v>
      </c>
      <c r="Q308" s="87">
        <v>0</v>
      </c>
      <c r="R308" s="86">
        <f t="shared" si="176"/>
        <v>905000</v>
      </c>
      <c r="S308" s="87">
        <f>905000</f>
        <v>905000</v>
      </c>
      <c r="T308" s="88">
        <f>S308/R308</f>
        <v>1</v>
      </c>
      <c r="U308" s="87">
        <f>902027.16</f>
        <v>902027.16</v>
      </c>
      <c r="V308" s="88">
        <f t="shared" si="163"/>
        <v>0.99671509392265201</v>
      </c>
      <c r="W308" s="87">
        <f>902027.16</f>
        <v>902027.16</v>
      </c>
      <c r="X308" s="89">
        <f t="shared" si="174"/>
        <v>0.99671509392265201</v>
      </c>
      <c r="Y308" s="65"/>
    </row>
    <row r="309" spans="1:25" s="65" customFormat="1" ht="9" customHeight="1" x14ac:dyDescent="0.2">
      <c r="A309" s="91"/>
      <c r="B309" s="92"/>
      <c r="C309" s="93"/>
      <c r="D309" s="94"/>
      <c r="E309" s="95"/>
      <c r="F309" s="96"/>
      <c r="G309" s="97"/>
      <c r="H309" s="93"/>
      <c r="I309" s="98"/>
      <c r="J309" s="99"/>
      <c r="K309" s="100"/>
      <c r="L309" s="101"/>
      <c r="M309" s="101"/>
      <c r="N309" s="100"/>
      <c r="O309" s="101"/>
      <c r="P309" s="101"/>
      <c r="Q309" s="101"/>
      <c r="R309" s="100"/>
      <c r="S309" s="101"/>
      <c r="T309" s="102"/>
      <c r="U309" s="101"/>
      <c r="V309" s="102"/>
      <c r="W309" s="101"/>
      <c r="X309" s="103"/>
    </row>
    <row r="310" spans="1:25" s="76" customFormat="1" ht="39" customHeight="1" x14ac:dyDescent="0.2">
      <c r="A310" s="130" t="s">
        <v>130</v>
      </c>
      <c r="B310" s="105" t="s">
        <v>138</v>
      </c>
      <c r="C310" s="106"/>
      <c r="D310" s="107" t="s">
        <v>249</v>
      </c>
      <c r="E310" s="108" t="s">
        <v>73</v>
      </c>
      <c r="F310" s="105" t="s">
        <v>250</v>
      </c>
      <c r="G310" s="109"/>
      <c r="H310" s="109"/>
      <c r="I310" s="109"/>
      <c r="J310" s="106"/>
      <c r="K310" s="110">
        <f>SUM(K311:K312)</f>
        <v>889647</v>
      </c>
      <c r="L310" s="110">
        <f t="shared" ref="L310:S310" si="177">SUM(L311:L312)</f>
        <v>160000</v>
      </c>
      <c r="M310" s="110">
        <f t="shared" si="177"/>
        <v>0</v>
      </c>
      <c r="N310" s="110">
        <f t="shared" si="177"/>
        <v>1049647</v>
      </c>
      <c r="O310" s="110">
        <f t="shared" si="177"/>
        <v>80000</v>
      </c>
      <c r="P310" s="110">
        <f t="shared" si="177"/>
        <v>0</v>
      </c>
      <c r="Q310" s="110">
        <f t="shared" si="177"/>
        <v>0</v>
      </c>
      <c r="R310" s="110">
        <f t="shared" si="177"/>
        <v>969647</v>
      </c>
      <c r="S310" s="110">
        <f t="shared" si="177"/>
        <v>718340.03999999992</v>
      </c>
      <c r="T310" s="111">
        <f>S310/R310</f>
        <v>0.74082634195743391</v>
      </c>
      <c r="U310" s="110">
        <f>SUM(U311:U312)</f>
        <v>712176.5</v>
      </c>
      <c r="V310" s="111">
        <f t="shared" ref="V310" si="178">U310/R310</f>
        <v>0.73446986377516765</v>
      </c>
      <c r="W310" s="110">
        <f>SUM(W311:W312)</f>
        <v>712176.5</v>
      </c>
      <c r="X310" s="112">
        <f t="shared" ref="X310" si="179">W310/R310</f>
        <v>0.73446986377516765</v>
      </c>
      <c r="Y310" s="75"/>
    </row>
    <row r="311" spans="1:25" s="90" customFormat="1" ht="39" customHeight="1" x14ac:dyDescent="0.2">
      <c r="A311" s="123" t="s">
        <v>130</v>
      </c>
      <c r="B311" s="78" t="s">
        <v>131</v>
      </c>
      <c r="C311" s="79" t="s">
        <v>101</v>
      </c>
      <c r="D311" s="80" t="s">
        <v>249</v>
      </c>
      <c r="E311" s="81" t="s">
        <v>73</v>
      </c>
      <c r="F311" s="82" t="s">
        <v>251</v>
      </c>
      <c r="G311" s="83">
        <v>1</v>
      </c>
      <c r="H311" s="79" t="s">
        <v>134</v>
      </c>
      <c r="I311" s="129" t="s">
        <v>135</v>
      </c>
      <c r="J311" s="85">
        <v>3</v>
      </c>
      <c r="K311" s="86">
        <v>889647</v>
      </c>
      <c r="L311" s="87">
        <v>0</v>
      </c>
      <c r="M311" s="87">
        <v>0</v>
      </c>
      <c r="N311" s="86">
        <f t="shared" si="175"/>
        <v>889647</v>
      </c>
      <c r="O311" s="87">
        <v>0</v>
      </c>
      <c r="P311" s="87">
        <v>0</v>
      </c>
      <c r="Q311" s="87">
        <v>0</v>
      </c>
      <c r="R311" s="86">
        <f t="shared" si="176"/>
        <v>889647</v>
      </c>
      <c r="S311" s="87">
        <f>81000+78000+80000+80000+80400+79991.51+80095.45+78853.08</f>
        <v>638340.03999999992</v>
      </c>
      <c r="T311" s="88">
        <f>S311/R311</f>
        <v>0.71752058962712173</v>
      </c>
      <c r="U311" s="87">
        <f>77583.53+78875.84+78005.17+78558.45+80356.41+79991.51+80095.45+78853.08</f>
        <v>632319.43999999994</v>
      </c>
      <c r="V311" s="88">
        <f t="shared" si="163"/>
        <v>0.71075318637616935</v>
      </c>
      <c r="W311" s="87">
        <f>77583.53+78875.84+77788.46+78775.16+80356.41+79991.51+80095.45+78853.08</f>
        <v>632319.43999999994</v>
      </c>
      <c r="X311" s="89">
        <f t="shared" si="174"/>
        <v>0.71075318637616935</v>
      </c>
      <c r="Y311" s="65"/>
    </row>
    <row r="312" spans="1:25" s="90" customFormat="1" ht="39" customHeight="1" x14ac:dyDescent="0.2">
      <c r="A312" s="123" t="s">
        <v>130</v>
      </c>
      <c r="B312" s="78" t="s">
        <v>131</v>
      </c>
      <c r="C312" s="79" t="s">
        <v>101</v>
      </c>
      <c r="D312" s="80" t="s">
        <v>249</v>
      </c>
      <c r="E312" s="81" t="s">
        <v>73</v>
      </c>
      <c r="F312" s="82" t="s">
        <v>251</v>
      </c>
      <c r="G312" s="83">
        <v>1</v>
      </c>
      <c r="H312" s="113" t="s">
        <v>61</v>
      </c>
      <c r="I312" s="114" t="s">
        <v>62</v>
      </c>
      <c r="J312" s="85">
        <v>3</v>
      </c>
      <c r="K312" s="86">
        <v>0</v>
      </c>
      <c r="L312" s="87">
        <f>160000</f>
        <v>160000</v>
      </c>
      <c r="M312" s="87">
        <v>0</v>
      </c>
      <c r="N312" s="86">
        <f t="shared" si="175"/>
        <v>160000</v>
      </c>
      <c r="O312" s="87">
        <f>80000</f>
        <v>80000</v>
      </c>
      <c r="P312" s="87">
        <v>0</v>
      </c>
      <c r="Q312" s="87">
        <v>0</v>
      </c>
      <c r="R312" s="86">
        <f t="shared" si="176"/>
        <v>80000</v>
      </c>
      <c r="S312" s="87">
        <f>80000</f>
        <v>80000</v>
      </c>
      <c r="T312" s="88">
        <f>S312/R312</f>
        <v>1</v>
      </c>
      <c r="U312" s="87">
        <f>79857.06</f>
        <v>79857.06</v>
      </c>
      <c r="V312" s="88">
        <f t="shared" si="163"/>
        <v>0.99821324999999994</v>
      </c>
      <c r="W312" s="87">
        <f>79857.06</f>
        <v>79857.06</v>
      </c>
      <c r="X312" s="89">
        <f t="shared" si="174"/>
        <v>0.99821324999999994</v>
      </c>
      <c r="Y312" s="65"/>
    </row>
    <row r="313" spans="1:25" s="65" customFormat="1" ht="9" customHeight="1" x14ac:dyDescent="0.2">
      <c r="A313" s="91"/>
      <c r="B313" s="92"/>
      <c r="C313" s="93"/>
      <c r="D313" s="94"/>
      <c r="E313" s="95"/>
      <c r="F313" s="96"/>
      <c r="G313" s="97"/>
      <c r="H313" s="93"/>
      <c r="I313" s="98"/>
      <c r="J313" s="99"/>
      <c r="K313" s="100"/>
      <c r="L313" s="101"/>
      <c r="M313" s="101"/>
      <c r="N313" s="100"/>
      <c r="O313" s="101"/>
      <c r="P313" s="101"/>
      <c r="Q313" s="101"/>
      <c r="R313" s="100"/>
      <c r="S313" s="101"/>
      <c r="T313" s="102"/>
      <c r="U313" s="101"/>
      <c r="V313" s="102"/>
      <c r="W313" s="101"/>
      <c r="X313" s="103"/>
    </row>
    <row r="314" spans="1:25" s="76" customFormat="1" ht="39" customHeight="1" x14ac:dyDescent="0.2">
      <c r="A314" s="130" t="s">
        <v>130</v>
      </c>
      <c r="B314" s="105" t="s">
        <v>138</v>
      </c>
      <c r="C314" s="106"/>
      <c r="D314" s="107" t="s">
        <v>252</v>
      </c>
      <c r="E314" s="108" t="s">
        <v>73</v>
      </c>
      <c r="F314" s="105" t="s">
        <v>253</v>
      </c>
      <c r="G314" s="109"/>
      <c r="H314" s="109"/>
      <c r="I314" s="109"/>
      <c r="J314" s="106"/>
      <c r="K314" s="110">
        <f>SUM(K315:K316)</f>
        <v>4448212</v>
      </c>
      <c r="L314" s="110">
        <f t="shared" ref="L314:S314" si="180">SUM(L315:L316)</f>
        <v>740000</v>
      </c>
      <c r="M314" s="110">
        <f t="shared" si="180"/>
        <v>0</v>
      </c>
      <c r="N314" s="110">
        <f t="shared" si="180"/>
        <v>5188212</v>
      </c>
      <c r="O314" s="110">
        <f>SUM(O315:O316)</f>
        <v>380000</v>
      </c>
      <c r="P314" s="110">
        <f t="shared" si="180"/>
        <v>0</v>
      </c>
      <c r="Q314" s="110">
        <f t="shared" si="180"/>
        <v>0</v>
      </c>
      <c r="R314" s="110">
        <f t="shared" si="180"/>
        <v>4808212</v>
      </c>
      <c r="S314" s="110">
        <f t="shared" si="180"/>
        <v>4111629.31</v>
      </c>
      <c r="T314" s="111">
        <f>S314/R314</f>
        <v>0.8551264607301009</v>
      </c>
      <c r="U314" s="110">
        <f>SUM(U315:U316)</f>
        <v>4093206.85</v>
      </c>
      <c r="V314" s="111">
        <f t="shared" ref="V314" si="181">U314/R314</f>
        <v>0.85129500321533247</v>
      </c>
      <c r="W314" s="110">
        <f>SUM(W315:W316)</f>
        <v>4093206.85</v>
      </c>
      <c r="X314" s="112">
        <f t="shared" ref="X314" si="182">W314/R314</f>
        <v>0.85129500321533247</v>
      </c>
      <c r="Y314" s="75"/>
    </row>
    <row r="315" spans="1:25" s="90" customFormat="1" ht="39" customHeight="1" x14ac:dyDescent="0.2">
      <c r="A315" s="123" t="s">
        <v>130</v>
      </c>
      <c r="B315" s="78" t="s">
        <v>131</v>
      </c>
      <c r="C315" s="79" t="s">
        <v>101</v>
      </c>
      <c r="D315" s="80" t="s">
        <v>252</v>
      </c>
      <c r="E315" s="81" t="s">
        <v>73</v>
      </c>
      <c r="F315" s="82" t="s">
        <v>254</v>
      </c>
      <c r="G315" s="83">
        <v>1</v>
      </c>
      <c r="H315" s="79" t="s">
        <v>134</v>
      </c>
      <c r="I315" s="129" t="s">
        <v>135</v>
      </c>
      <c r="J315" s="85">
        <v>3</v>
      </c>
      <c r="K315" s="86">
        <v>4448212</v>
      </c>
      <c r="L315" s="87">
        <v>0</v>
      </c>
      <c r="M315" s="87">
        <v>0</v>
      </c>
      <c r="N315" s="86">
        <f>K315+L315-M315</f>
        <v>4448212</v>
      </c>
      <c r="O315" s="87">
        <v>0</v>
      </c>
      <c r="P315" s="87">
        <v>0</v>
      </c>
      <c r="Q315" s="87">
        <v>0</v>
      </c>
      <c r="R315" s="86">
        <f t="shared" si="176"/>
        <v>4448212</v>
      </c>
      <c r="S315" s="87">
        <f>401000+313000+351000+360000+357000+359961.82+1254828.64+354838.85</f>
        <v>3751629.31</v>
      </c>
      <c r="T315" s="88">
        <f t="shared" ref="T315:T316" si="183">S315/R315</f>
        <v>0.84340164317707877</v>
      </c>
      <c r="U315" s="87">
        <f>352481.19+353646.3+348954.94+353547.64+356663.43+359961.82+1254828.64+354838.85</f>
        <v>3734922.81</v>
      </c>
      <c r="V315" s="88">
        <f t="shared" si="163"/>
        <v>0.8396458644507051</v>
      </c>
      <c r="W315" s="87">
        <f>352481.19+353329.58+349271.66+353547.64+356663.43+359961.82+1254828.64+354838.85</f>
        <v>3734922.81</v>
      </c>
      <c r="X315" s="89">
        <f t="shared" si="174"/>
        <v>0.8396458644507051</v>
      </c>
      <c r="Y315" s="65"/>
    </row>
    <row r="316" spans="1:25" s="90" customFormat="1" ht="39" customHeight="1" x14ac:dyDescent="0.2">
      <c r="A316" s="123" t="s">
        <v>130</v>
      </c>
      <c r="B316" s="78" t="s">
        <v>131</v>
      </c>
      <c r="C316" s="79" t="s">
        <v>101</v>
      </c>
      <c r="D316" s="80" t="s">
        <v>252</v>
      </c>
      <c r="E316" s="81" t="s">
        <v>73</v>
      </c>
      <c r="F316" s="82" t="s">
        <v>254</v>
      </c>
      <c r="G316" s="83">
        <v>1</v>
      </c>
      <c r="H316" s="113" t="s">
        <v>61</v>
      </c>
      <c r="I316" s="114" t="s">
        <v>62</v>
      </c>
      <c r="J316" s="85">
        <v>3</v>
      </c>
      <c r="K316" s="86">
        <v>0</v>
      </c>
      <c r="L316" s="87">
        <f>740000</f>
        <v>740000</v>
      </c>
      <c r="M316" s="87">
        <v>0</v>
      </c>
      <c r="N316" s="86">
        <f>K316+L316-M316</f>
        <v>740000</v>
      </c>
      <c r="O316" s="87">
        <f>380000</f>
        <v>380000</v>
      </c>
      <c r="P316" s="87">
        <v>0</v>
      </c>
      <c r="Q316" s="87">
        <v>0</v>
      </c>
      <c r="R316" s="86">
        <f t="shared" si="176"/>
        <v>360000</v>
      </c>
      <c r="S316" s="87">
        <f>360000</f>
        <v>360000</v>
      </c>
      <c r="T316" s="88">
        <f t="shared" si="183"/>
        <v>1</v>
      </c>
      <c r="U316" s="87">
        <f>358284.04</f>
        <v>358284.04</v>
      </c>
      <c r="V316" s="88">
        <f t="shared" si="163"/>
        <v>0.99523344444444439</v>
      </c>
      <c r="W316" s="87">
        <f>358284.04</f>
        <v>358284.04</v>
      </c>
      <c r="X316" s="89">
        <f t="shared" si="174"/>
        <v>0.99523344444444439</v>
      </c>
      <c r="Y316" s="65"/>
    </row>
    <row r="317" spans="1:25" s="65" customFormat="1" ht="9" customHeight="1" x14ac:dyDescent="0.2">
      <c r="A317" s="91"/>
      <c r="B317" s="92"/>
      <c r="C317" s="93"/>
      <c r="D317" s="94"/>
      <c r="E317" s="95"/>
      <c r="F317" s="96"/>
      <c r="G317" s="97"/>
      <c r="H317" s="93"/>
      <c r="I317" s="98"/>
      <c r="J317" s="99"/>
      <c r="K317" s="100"/>
      <c r="L317" s="101"/>
      <c r="M317" s="101"/>
      <c r="N317" s="100"/>
      <c r="O317" s="101"/>
      <c r="P317" s="101"/>
      <c r="Q317" s="101"/>
      <c r="R317" s="100"/>
      <c r="S317" s="101"/>
      <c r="T317" s="102"/>
      <c r="U317" s="101"/>
      <c r="V317" s="102"/>
      <c r="W317" s="101"/>
      <c r="X317" s="103"/>
    </row>
    <row r="318" spans="1:25" s="76" customFormat="1" ht="39" customHeight="1" x14ac:dyDescent="0.2">
      <c r="A318" s="130" t="s">
        <v>130</v>
      </c>
      <c r="B318" s="105" t="s">
        <v>138</v>
      </c>
      <c r="C318" s="106"/>
      <c r="D318" s="107" t="s">
        <v>255</v>
      </c>
      <c r="E318" s="108" t="s">
        <v>73</v>
      </c>
      <c r="F318" s="105" t="s">
        <v>256</v>
      </c>
      <c r="G318" s="109"/>
      <c r="H318" s="109"/>
      <c r="I318" s="109"/>
      <c r="J318" s="106"/>
      <c r="K318" s="110">
        <f>SUM(K319:K322)</f>
        <v>342095</v>
      </c>
      <c r="L318" s="110">
        <f t="shared" ref="L318:S318" si="184">SUM(L319:L322)</f>
        <v>500000</v>
      </c>
      <c r="M318" s="110">
        <f t="shared" si="184"/>
        <v>0</v>
      </c>
      <c r="N318" s="110">
        <f t="shared" si="184"/>
        <v>842095</v>
      </c>
      <c r="O318" s="110">
        <f t="shared" si="184"/>
        <v>0</v>
      </c>
      <c r="P318" s="110">
        <f t="shared" si="184"/>
        <v>0</v>
      </c>
      <c r="Q318" s="110">
        <f t="shared" si="184"/>
        <v>0</v>
      </c>
      <c r="R318" s="110">
        <f t="shared" si="184"/>
        <v>842095</v>
      </c>
      <c r="S318" s="110">
        <f t="shared" si="184"/>
        <v>479878.13</v>
      </c>
      <c r="T318" s="111">
        <f>S318/R318</f>
        <v>0.569862224570862</v>
      </c>
      <c r="U318" s="110">
        <f>SUM(U319:U322)</f>
        <v>445321.94</v>
      </c>
      <c r="V318" s="111">
        <f t="shared" ref="V318:V319" si="185">U318/R318</f>
        <v>0.52882624881990747</v>
      </c>
      <c r="W318" s="110">
        <f>SUM(W319:W322)</f>
        <v>421521.94</v>
      </c>
      <c r="X318" s="112">
        <f t="shared" ref="X318:X319" si="186">W318/R318</f>
        <v>0.50056340436649072</v>
      </c>
      <c r="Y318" s="75"/>
    </row>
    <row r="319" spans="1:25" s="90" customFormat="1" ht="39" customHeight="1" x14ac:dyDescent="0.2">
      <c r="A319" s="123" t="s">
        <v>130</v>
      </c>
      <c r="B319" s="78" t="s">
        <v>131</v>
      </c>
      <c r="C319" s="79" t="s">
        <v>108</v>
      </c>
      <c r="D319" s="80" t="s">
        <v>255</v>
      </c>
      <c r="E319" s="81" t="s">
        <v>73</v>
      </c>
      <c r="F319" s="82" t="s">
        <v>256</v>
      </c>
      <c r="G319" s="83">
        <v>1</v>
      </c>
      <c r="H319" s="79" t="s">
        <v>52</v>
      </c>
      <c r="I319" s="84" t="s">
        <v>53</v>
      </c>
      <c r="J319" s="85">
        <v>4</v>
      </c>
      <c r="K319" s="86">
        <v>20000</v>
      </c>
      <c r="L319" s="87">
        <v>0</v>
      </c>
      <c r="M319" s="87">
        <v>0</v>
      </c>
      <c r="N319" s="86">
        <f>K319+L319-M319</f>
        <v>20000</v>
      </c>
      <c r="O319" s="87">
        <v>0</v>
      </c>
      <c r="P319" s="87">
        <v>0</v>
      </c>
      <c r="Q319" s="87">
        <v>0</v>
      </c>
      <c r="R319" s="86">
        <f>N319-O319+P319+Q319</f>
        <v>20000</v>
      </c>
      <c r="S319" s="87">
        <v>0</v>
      </c>
      <c r="T319" s="88">
        <f>S319/R319</f>
        <v>0</v>
      </c>
      <c r="U319" s="87">
        <v>0</v>
      </c>
      <c r="V319" s="88">
        <f t="shared" si="185"/>
        <v>0</v>
      </c>
      <c r="W319" s="87">
        <v>0</v>
      </c>
      <c r="X319" s="89">
        <f t="shared" si="186"/>
        <v>0</v>
      </c>
      <c r="Y319" s="65"/>
    </row>
    <row r="320" spans="1:25" s="90" customFormat="1" ht="39" customHeight="1" x14ac:dyDescent="0.2">
      <c r="A320" s="123" t="s">
        <v>130</v>
      </c>
      <c r="B320" s="78" t="s">
        <v>131</v>
      </c>
      <c r="C320" s="139" t="s">
        <v>108</v>
      </c>
      <c r="D320" s="80" t="s">
        <v>255</v>
      </c>
      <c r="E320" s="140" t="s">
        <v>73</v>
      </c>
      <c r="F320" s="141" t="s">
        <v>256</v>
      </c>
      <c r="G320" s="83">
        <v>1</v>
      </c>
      <c r="H320" s="79" t="s">
        <v>134</v>
      </c>
      <c r="I320" s="129" t="s">
        <v>135</v>
      </c>
      <c r="J320" s="85">
        <v>3</v>
      </c>
      <c r="K320" s="86">
        <v>322095</v>
      </c>
      <c r="L320" s="87">
        <v>0</v>
      </c>
      <c r="M320" s="87">
        <v>0</v>
      </c>
      <c r="N320" s="86">
        <f>K320+L320-M320</f>
        <v>322095</v>
      </c>
      <c r="O320" s="87">
        <v>0</v>
      </c>
      <c r="P320" s="87">
        <v>0</v>
      </c>
      <c r="Q320" s="87">
        <v>0</v>
      </c>
      <c r="R320" s="86">
        <f>N320-O320+P320+Q320</f>
        <v>322095</v>
      </c>
      <c r="S320" s="87">
        <f>2185+39831.18+10764.66+23246.77+11760.2+23870+30345+1080.38+10077.13</f>
        <v>153160.32000000001</v>
      </c>
      <c r="T320" s="88">
        <f>S320/R320</f>
        <v>0.47551287663577518</v>
      </c>
      <c r="U320" s="87">
        <f>2185+36425.5+10011.81+15850.25+13335.47+3983.59+25655+931.98+10225.53</f>
        <v>118604.12999999999</v>
      </c>
      <c r="V320" s="88">
        <f t="shared" si="163"/>
        <v>0.3682271690029339</v>
      </c>
      <c r="W320" s="87">
        <f>2185+36191.8+10245.51+15850.25+8668.81+3983.59+30321.66+144.83-12787.32</f>
        <v>94804.13</v>
      </c>
      <c r="X320" s="89">
        <f t="shared" si="174"/>
        <v>0.29433592573619588</v>
      </c>
      <c r="Y320" s="65"/>
    </row>
    <row r="321" spans="1:25" s="90" customFormat="1" ht="39" customHeight="1" x14ac:dyDescent="0.2">
      <c r="A321" s="123" t="s">
        <v>130</v>
      </c>
      <c r="B321" s="78" t="s">
        <v>131</v>
      </c>
      <c r="C321" s="139" t="s">
        <v>108</v>
      </c>
      <c r="D321" s="80" t="s">
        <v>255</v>
      </c>
      <c r="E321" s="140" t="s">
        <v>73</v>
      </c>
      <c r="F321" s="141" t="s">
        <v>256</v>
      </c>
      <c r="G321" s="83">
        <v>1</v>
      </c>
      <c r="H321" s="113" t="s">
        <v>61</v>
      </c>
      <c r="I321" s="114" t="s">
        <v>62</v>
      </c>
      <c r="J321" s="85">
        <v>3</v>
      </c>
      <c r="K321" s="86">
        <v>0</v>
      </c>
      <c r="L321" s="87">
        <f>100000+50000</f>
        <v>150000</v>
      </c>
      <c r="M321" s="87">
        <v>0</v>
      </c>
      <c r="N321" s="86">
        <f>K321+L321-M321</f>
        <v>150000</v>
      </c>
      <c r="O321" s="87">
        <f>14200-14200</f>
        <v>0</v>
      </c>
      <c r="P321" s="87">
        <v>0</v>
      </c>
      <c r="Q321" s="87">
        <v>0</v>
      </c>
      <c r="R321" s="86">
        <f>N321-O321+P321+Q321</f>
        <v>150000</v>
      </c>
      <c r="S321" s="87">
        <f>73199.84+47025+11172.6+10800</f>
        <v>142197.44</v>
      </c>
      <c r="T321" s="88">
        <f>S321/R321</f>
        <v>0.94798293333333339</v>
      </c>
      <c r="U321" s="87">
        <f>59767.84+16100+55529.6+10800</f>
        <v>142197.44</v>
      </c>
      <c r="V321" s="88">
        <f t="shared" si="163"/>
        <v>0.94798293333333339</v>
      </c>
      <c r="W321" s="87">
        <f>8648+67219.84+55529.6+10800</f>
        <v>142197.44</v>
      </c>
      <c r="X321" s="89">
        <f t="shared" si="174"/>
        <v>0.94798293333333339</v>
      </c>
      <c r="Y321" s="65"/>
    </row>
    <row r="322" spans="1:25" s="90" customFormat="1" ht="39" customHeight="1" x14ac:dyDescent="0.2">
      <c r="A322" s="123" t="s">
        <v>130</v>
      </c>
      <c r="B322" s="78" t="s">
        <v>131</v>
      </c>
      <c r="C322" s="139" t="s">
        <v>108</v>
      </c>
      <c r="D322" s="80" t="s">
        <v>255</v>
      </c>
      <c r="E322" s="140" t="s">
        <v>73</v>
      </c>
      <c r="F322" s="141" t="s">
        <v>256</v>
      </c>
      <c r="G322" s="83">
        <v>1</v>
      </c>
      <c r="H322" s="128" t="s">
        <v>143</v>
      </c>
      <c r="I322" s="84" t="s">
        <v>144</v>
      </c>
      <c r="J322" s="85">
        <v>3</v>
      </c>
      <c r="K322" s="86">
        <v>0</v>
      </c>
      <c r="L322" s="87">
        <f>350000</f>
        <v>350000</v>
      </c>
      <c r="M322" s="87">
        <v>0</v>
      </c>
      <c r="N322" s="86">
        <f>K322+L322-M322</f>
        <v>350000</v>
      </c>
      <c r="O322" s="87">
        <v>0</v>
      </c>
      <c r="P322" s="87">
        <v>0</v>
      </c>
      <c r="Q322" s="87">
        <v>0</v>
      </c>
      <c r="R322" s="86">
        <f>N322-O322+P322+Q322</f>
        <v>350000</v>
      </c>
      <c r="S322" s="87">
        <f>164146.45+400+19973.92</f>
        <v>184520.37</v>
      </c>
      <c r="T322" s="88">
        <f>S322/R322</f>
        <v>0.52720105714285714</v>
      </c>
      <c r="U322" s="87">
        <f>15690+148856.45+19973.92</f>
        <v>184520.37</v>
      </c>
      <c r="V322" s="88">
        <f t="shared" si="163"/>
        <v>0.52720105714285714</v>
      </c>
      <c r="W322" s="87">
        <f>15690+148856.45+19973.92</f>
        <v>184520.37</v>
      </c>
      <c r="X322" s="89">
        <f t="shared" si="174"/>
        <v>0.52720105714285714</v>
      </c>
      <c r="Y322" s="65"/>
    </row>
    <row r="323" spans="1:25" s="65" customFormat="1" ht="9" customHeight="1" x14ac:dyDescent="0.2">
      <c r="A323" s="91"/>
      <c r="B323" s="92"/>
      <c r="C323" s="93"/>
      <c r="D323" s="94"/>
      <c r="E323" s="95"/>
      <c r="F323" s="96"/>
      <c r="G323" s="97"/>
      <c r="H323" s="93"/>
      <c r="I323" s="98"/>
      <c r="J323" s="99"/>
      <c r="K323" s="100"/>
      <c r="L323" s="101"/>
      <c r="M323" s="101"/>
      <c r="N323" s="100"/>
      <c r="O323" s="101"/>
      <c r="P323" s="101"/>
      <c r="Q323" s="101"/>
      <c r="R323" s="100"/>
      <c r="S323" s="101"/>
      <c r="T323" s="102"/>
      <c r="U323" s="101"/>
      <c r="V323" s="102"/>
      <c r="W323" s="101"/>
      <c r="X323" s="103"/>
    </row>
    <row r="324" spans="1:25" s="76" customFormat="1" ht="39" customHeight="1" x14ac:dyDescent="0.2">
      <c r="A324" s="104" t="s">
        <v>130</v>
      </c>
      <c r="B324" s="105" t="s">
        <v>138</v>
      </c>
      <c r="C324" s="106"/>
      <c r="D324" s="107" t="s">
        <v>257</v>
      </c>
      <c r="E324" s="108" t="s">
        <v>73</v>
      </c>
      <c r="F324" s="105" t="s">
        <v>107</v>
      </c>
      <c r="G324" s="109"/>
      <c r="H324" s="109"/>
      <c r="I324" s="109"/>
      <c r="J324" s="106"/>
      <c r="K324" s="110">
        <f>SUM(K325:K327)</f>
        <v>25387528</v>
      </c>
      <c r="L324" s="110">
        <f t="shared" ref="L324:S324" si="187">SUM(L325:L327)</f>
        <v>8350000</v>
      </c>
      <c r="M324" s="110">
        <f t="shared" si="187"/>
        <v>0</v>
      </c>
      <c r="N324" s="110">
        <f t="shared" si="187"/>
        <v>33737528</v>
      </c>
      <c r="O324" s="110">
        <f t="shared" si="187"/>
        <v>22680172</v>
      </c>
      <c r="P324" s="110">
        <f t="shared" si="187"/>
        <v>0</v>
      </c>
      <c r="Q324" s="110">
        <f t="shared" si="187"/>
        <v>0</v>
      </c>
      <c r="R324" s="110">
        <f t="shared" si="187"/>
        <v>11057356</v>
      </c>
      <c r="S324" s="110">
        <f t="shared" si="187"/>
        <v>9849611.4199999999</v>
      </c>
      <c r="T324" s="111">
        <f>S324/R324</f>
        <v>0.89077455948781969</v>
      </c>
      <c r="U324" s="110">
        <f>SUM(U325:U327)</f>
        <v>9849611.4199999999</v>
      </c>
      <c r="V324" s="111">
        <f t="shared" ref="V324" si="188">U324/R324</f>
        <v>0.89077455948781969</v>
      </c>
      <c r="W324" s="110">
        <f>SUM(W325:W327)</f>
        <v>9849611.4199999999</v>
      </c>
      <c r="X324" s="112">
        <f t="shared" ref="X324" si="189">W324/R324</f>
        <v>0.89077455948781969</v>
      </c>
      <c r="Y324" s="75"/>
    </row>
    <row r="325" spans="1:25" s="90" customFormat="1" ht="39" customHeight="1" x14ac:dyDescent="0.2">
      <c r="A325" s="77" t="s">
        <v>130</v>
      </c>
      <c r="B325" s="78" t="s">
        <v>131</v>
      </c>
      <c r="C325" s="79" t="s">
        <v>108</v>
      </c>
      <c r="D325" s="80" t="s">
        <v>257</v>
      </c>
      <c r="E325" s="81" t="s">
        <v>73</v>
      </c>
      <c r="F325" s="82" t="s">
        <v>107</v>
      </c>
      <c r="G325" s="83">
        <v>1</v>
      </c>
      <c r="H325" s="79" t="s">
        <v>76</v>
      </c>
      <c r="I325" s="84" t="s">
        <v>77</v>
      </c>
      <c r="J325" s="85">
        <v>3</v>
      </c>
      <c r="K325" s="86">
        <v>5207356</v>
      </c>
      <c r="L325" s="87">
        <v>0</v>
      </c>
      <c r="M325" s="87">
        <v>0</v>
      </c>
      <c r="N325" s="86">
        <f t="shared" ref="N325:N335" si="190">K325+L325-M325</f>
        <v>5207356</v>
      </c>
      <c r="O325" s="87">
        <f>4000000</f>
        <v>4000000</v>
      </c>
      <c r="P325" s="87">
        <v>0</v>
      </c>
      <c r="Q325" s="87">
        <v>0</v>
      </c>
      <c r="R325" s="86">
        <f t="shared" si="176"/>
        <v>1207356</v>
      </c>
      <c r="S325" s="87">
        <v>0</v>
      </c>
      <c r="T325" s="88">
        <f>S325/R325</f>
        <v>0</v>
      </c>
      <c r="U325" s="87">
        <v>0</v>
      </c>
      <c r="V325" s="88">
        <f t="shared" si="163"/>
        <v>0</v>
      </c>
      <c r="W325" s="87">
        <v>0</v>
      </c>
      <c r="X325" s="89">
        <f t="shared" si="174"/>
        <v>0</v>
      </c>
      <c r="Y325" s="65"/>
    </row>
    <row r="326" spans="1:25" s="90" customFormat="1" ht="39" customHeight="1" x14ac:dyDescent="0.2">
      <c r="A326" s="77" t="s">
        <v>130</v>
      </c>
      <c r="B326" s="78" t="s">
        <v>131</v>
      </c>
      <c r="C326" s="79" t="s">
        <v>108</v>
      </c>
      <c r="D326" s="80" t="s">
        <v>257</v>
      </c>
      <c r="E326" s="81" t="s">
        <v>73</v>
      </c>
      <c r="F326" s="78" t="s">
        <v>107</v>
      </c>
      <c r="G326" s="126">
        <v>1</v>
      </c>
      <c r="H326" s="79" t="s">
        <v>134</v>
      </c>
      <c r="I326" s="129" t="s">
        <v>135</v>
      </c>
      <c r="J326" s="127">
        <v>3</v>
      </c>
      <c r="K326" s="87">
        <v>20180172</v>
      </c>
      <c r="L326" s="87">
        <v>0</v>
      </c>
      <c r="M326" s="87">
        <v>0</v>
      </c>
      <c r="N326" s="86">
        <f t="shared" si="190"/>
        <v>20180172</v>
      </c>
      <c r="O326" s="87">
        <f>18680172</f>
        <v>18680172</v>
      </c>
      <c r="P326" s="87">
        <v>0</v>
      </c>
      <c r="Q326" s="87">
        <v>0</v>
      </c>
      <c r="R326" s="86">
        <f t="shared" si="176"/>
        <v>1500000</v>
      </c>
      <c r="S326" s="87">
        <f>500000+1000000</f>
        <v>1500000</v>
      </c>
      <c r="T326" s="88">
        <f>S326/R326</f>
        <v>1</v>
      </c>
      <c r="U326" s="87">
        <f>500000+1000000</f>
        <v>1500000</v>
      </c>
      <c r="V326" s="88">
        <f t="shared" si="163"/>
        <v>1</v>
      </c>
      <c r="W326" s="87">
        <f>500000+1000000</f>
        <v>1500000</v>
      </c>
      <c r="X326" s="89">
        <f t="shared" si="174"/>
        <v>1</v>
      </c>
      <c r="Y326" s="65"/>
    </row>
    <row r="327" spans="1:25" s="90" customFormat="1" ht="39" customHeight="1" x14ac:dyDescent="0.2">
      <c r="A327" s="77" t="s">
        <v>130</v>
      </c>
      <c r="B327" s="78" t="s">
        <v>131</v>
      </c>
      <c r="C327" s="79" t="s">
        <v>108</v>
      </c>
      <c r="D327" s="80" t="s">
        <v>257</v>
      </c>
      <c r="E327" s="81" t="s">
        <v>73</v>
      </c>
      <c r="F327" s="78" t="s">
        <v>107</v>
      </c>
      <c r="G327" s="126">
        <v>1</v>
      </c>
      <c r="H327" s="113" t="s">
        <v>61</v>
      </c>
      <c r="I327" s="114" t="s">
        <v>62</v>
      </c>
      <c r="J327" s="127">
        <v>3</v>
      </c>
      <c r="K327" s="87">
        <v>0</v>
      </c>
      <c r="L327" s="87">
        <f>8350000</f>
        <v>8350000</v>
      </c>
      <c r="M327" s="87">
        <v>0</v>
      </c>
      <c r="N327" s="86">
        <f t="shared" si="190"/>
        <v>8350000</v>
      </c>
      <c r="O327" s="87">
        <f>4350000-4350000</f>
        <v>0</v>
      </c>
      <c r="P327" s="87">
        <v>0</v>
      </c>
      <c r="Q327" s="87">
        <v>0</v>
      </c>
      <c r="R327" s="86">
        <f t="shared" si="176"/>
        <v>8350000</v>
      </c>
      <c r="S327" s="87">
        <f>3993649.6+3975961.82+380000</f>
        <v>8349611.4199999999</v>
      </c>
      <c r="T327" s="88">
        <f>S327/R327</f>
        <v>0.99995346347305392</v>
      </c>
      <c r="U327" s="87">
        <f>3993649.6+3975961.82+380000</f>
        <v>8349611.4199999999</v>
      </c>
      <c r="V327" s="88">
        <f t="shared" si="163"/>
        <v>0.99995346347305392</v>
      </c>
      <c r="W327" s="87">
        <f>3993649.6+3975961.82+380000</f>
        <v>8349611.4199999999</v>
      </c>
      <c r="X327" s="89">
        <f t="shared" si="174"/>
        <v>0.99995346347305392</v>
      </c>
      <c r="Y327" s="65"/>
    </row>
    <row r="328" spans="1:25" s="65" customFormat="1" ht="9" customHeight="1" x14ac:dyDescent="0.2">
      <c r="A328" s="91"/>
      <c r="B328" s="92"/>
      <c r="C328" s="93"/>
      <c r="D328" s="94"/>
      <c r="E328" s="95"/>
      <c r="F328" s="96"/>
      <c r="G328" s="97"/>
      <c r="H328" s="93"/>
      <c r="I328" s="98"/>
      <c r="J328" s="99"/>
      <c r="K328" s="100"/>
      <c r="L328" s="101"/>
      <c r="M328" s="101"/>
      <c r="N328" s="100"/>
      <c r="O328" s="101"/>
      <c r="P328" s="101"/>
      <c r="Q328" s="101"/>
      <c r="R328" s="100"/>
      <c r="S328" s="101"/>
      <c r="T328" s="102"/>
      <c r="U328" s="101"/>
      <c r="V328" s="102"/>
      <c r="W328" s="101"/>
      <c r="X328" s="103"/>
    </row>
    <row r="329" spans="1:25" s="76" customFormat="1" ht="39" customHeight="1" x14ac:dyDescent="0.2">
      <c r="A329" s="130" t="s">
        <v>130</v>
      </c>
      <c r="B329" s="105" t="s">
        <v>138</v>
      </c>
      <c r="C329" s="106"/>
      <c r="D329" s="107" t="s">
        <v>258</v>
      </c>
      <c r="E329" s="108" t="s">
        <v>73</v>
      </c>
      <c r="F329" s="105" t="s">
        <v>110</v>
      </c>
      <c r="G329" s="109"/>
      <c r="H329" s="109"/>
      <c r="I329" s="109"/>
      <c r="J329" s="106"/>
      <c r="K329" s="110">
        <f>SUM(K330:K331)</f>
        <v>2000000</v>
      </c>
      <c r="L329" s="110">
        <f t="shared" ref="L329:S329" si="191">SUM(L330:L331)</f>
        <v>870000</v>
      </c>
      <c r="M329" s="110">
        <f t="shared" si="191"/>
        <v>0</v>
      </c>
      <c r="N329" s="110">
        <f t="shared" si="191"/>
        <v>2870000</v>
      </c>
      <c r="O329" s="110">
        <f t="shared" si="191"/>
        <v>2000000</v>
      </c>
      <c r="P329" s="110">
        <f t="shared" si="191"/>
        <v>0</v>
      </c>
      <c r="Q329" s="110">
        <f t="shared" si="191"/>
        <v>0</v>
      </c>
      <c r="R329" s="110">
        <f t="shared" si="191"/>
        <v>870000</v>
      </c>
      <c r="S329" s="110">
        <f t="shared" si="191"/>
        <v>865697.76</v>
      </c>
      <c r="T329" s="111">
        <f>S329/R329</f>
        <v>0.99505489655172419</v>
      </c>
      <c r="U329" s="110">
        <f>SUM(U330:U331)</f>
        <v>865697.76</v>
      </c>
      <c r="V329" s="111">
        <f t="shared" ref="V329" si="192">U329/R329</f>
        <v>0.99505489655172419</v>
      </c>
      <c r="W329" s="110">
        <f>SUM(W330:W331)</f>
        <v>865697.76</v>
      </c>
      <c r="X329" s="112">
        <f t="shared" ref="X329" si="193">W329/R329</f>
        <v>0.99505489655172419</v>
      </c>
      <c r="Y329" s="75"/>
    </row>
    <row r="330" spans="1:25" s="90" customFormat="1" ht="39" customHeight="1" x14ac:dyDescent="0.2">
      <c r="A330" s="123" t="s">
        <v>130</v>
      </c>
      <c r="B330" s="78" t="s">
        <v>131</v>
      </c>
      <c r="C330" s="79" t="s">
        <v>108</v>
      </c>
      <c r="D330" s="80" t="s">
        <v>258</v>
      </c>
      <c r="E330" s="81" t="s">
        <v>73</v>
      </c>
      <c r="F330" s="82" t="s">
        <v>110</v>
      </c>
      <c r="G330" s="83">
        <v>1</v>
      </c>
      <c r="H330" s="79" t="s">
        <v>134</v>
      </c>
      <c r="I330" s="129" t="s">
        <v>135</v>
      </c>
      <c r="J330" s="85">
        <v>3</v>
      </c>
      <c r="K330" s="86">
        <v>2000000</v>
      </c>
      <c r="L330" s="87">
        <v>0</v>
      </c>
      <c r="M330" s="87">
        <v>0</v>
      </c>
      <c r="N330" s="86">
        <f t="shared" si="190"/>
        <v>2000000</v>
      </c>
      <c r="O330" s="87">
        <f>2000000</f>
        <v>2000000</v>
      </c>
      <c r="P330" s="87">
        <v>0</v>
      </c>
      <c r="Q330" s="87">
        <v>0</v>
      </c>
      <c r="R330" s="86">
        <f t="shared" si="176"/>
        <v>0</v>
      </c>
      <c r="S330" s="87">
        <v>0</v>
      </c>
      <c r="T330" s="88">
        <v>0</v>
      </c>
      <c r="U330" s="87">
        <v>0</v>
      </c>
      <c r="V330" s="88">
        <v>0</v>
      </c>
      <c r="W330" s="87">
        <v>0</v>
      </c>
      <c r="X330" s="89">
        <v>0</v>
      </c>
      <c r="Y330" s="65"/>
    </row>
    <row r="331" spans="1:25" s="90" customFormat="1" ht="39" customHeight="1" x14ac:dyDescent="0.2">
      <c r="A331" s="123" t="s">
        <v>130</v>
      </c>
      <c r="B331" s="78" t="s">
        <v>131</v>
      </c>
      <c r="C331" s="79" t="s">
        <v>108</v>
      </c>
      <c r="D331" s="80" t="s">
        <v>258</v>
      </c>
      <c r="E331" s="81" t="s">
        <v>73</v>
      </c>
      <c r="F331" s="82" t="s">
        <v>110</v>
      </c>
      <c r="G331" s="83">
        <v>1</v>
      </c>
      <c r="H331" s="113" t="s">
        <v>61</v>
      </c>
      <c r="I331" s="114" t="s">
        <v>62</v>
      </c>
      <c r="J331" s="85">
        <v>3</v>
      </c>
      <c r="K331" s="86">
        <v>0</v>
      </c>
      <c r="L331" s="87">
        <f>870000</f>
        <v>870000</v>
      </c>
      <c r="M331" s="87">
        <v>0</v>
      </c>
      <c r="N331" s="86">
        <f t="shared" si="190"/>
        <v>870000</v>
      </c>
      <c r="O331" s="87">
        <f>430000-430000</f>
        <v>0</v>
      </c>
      <c r="P331" s="87">
        <v>0</v>
      </c>
      <c r="Q331" s="87">
        <v>0</v>
      </c>
      <c r="R331" s="86">
        <f t="shared" si="176"/>
        <v>870000</v>
      </c>
      <c r="S331" s="87">
        <f>431933.04+433764.72</f>
        <v>865697.76</v>
      </c>
      <c r="T331" s="88">
        <f>S331/R331</f>
        <v>0.99505489655172419</v>
      </c>
      <c r="U331" s="87">
        <f>431933.04+433764.72</f>
        <v>865697.76</v>
      </c>
      <c r="V331" s="88">
        <f t="shared" si="163"/>
        <v>0.99505489655172419</v>
      </c>
      <c r="W331" s="87">
        <f>431933.04+433764.72</f>
        <v>865697.76</v>
      </c>
      <c r="X331" s="89">
        <f t="shared" si="174"/>
        <v>0.99505489655172419</v>
      </c>
      <c r="Y331" s="65"/>
    </row>
    <row r="332" spans="1:25" s="65" customFormat="1" ht="9" customHeight="1" x14ac:dyDescent="0.2">
      <c r="A332" s="91"/>
      <c r="B332" s="92"/>
      <c r="C332" s="93"/>
      <c r="D332" s="94"/>
      <c r="E332" s="95"/>
      <c r="F332" s="96"/>
      <c r="G332" s="97"/>
      <c r="H332" s="93"/>
      <c r="I332" s="98"/>
      <c r="J332" s="99"/>
      <c r="K332" s="100"/>
      <c r="L332" s="101"/>
      <c r="M332" s="101"/>
      <c r="N332" s="100"/>
      <c r="O332" s="101"/>
      <c r="P332" s="101"/>
      <c r="Q332" s="101"/>
      <c r="R332" s="100"/>
      <c r="S332" s="101"/>
      <c r="T332" s="102"/>
      <c r="U332" s="101"/>
      <c r="V332" s="102"/>
      <c r="W332" s="101"/>
      <c r="X332" s="103"/>
    </row>
    <row r="333" spans="1:25" s="76" customFormat="1" ht="39" customHeight="1" x14ac:dyDescent="0.2">
      <c r="A333" s="130" t="s">
        <v>130</v>
      </c>
      <c r="B333" s="105" t="s">
        <v>138</v>
      </c>
      <c r="C333" s="106"/>
      <c r="D333" s="107" t="s">
        <v>259</v>
      </c>
      <c r="E333" s="108" t="s">
        <v>73</v>
      </c>
      <c r="F333" s="105" t="s">
        <v>112</v>
      </c>
      <c r="G333" s="109"/>
      <c r="H333" s="109"/>
      <c r="I333" s="109"/>
      <c r="J333" s="106"/>
      <c r="K333" s="110">
        <f>SUM(K334:K335)</f>
        <v>5000000</v>
      </c>
      <c r="L333" s="110">
        <f t="shared" ref="L333:U333" si="194">SUM(L334:L335)</f>
        <v>2510000</v>
      </c>
      <c r="M333" s="110">
        <f t="shared" si="194"/>
        <v>0</v>
      </c>
      <c r="N333" s="110">
        <f t="shared" si="194"/>
        <v>7510000</v>
      </c>
      <c r="O333" s="110">
        <f t="shared" si="194"/>
        <v>5000000</v>
      </c>
      <c r="P333" s="110">
        <f t="shared" si="194"/>
        <v>0</v>
      </c>
      <c r="Q333" s="110">
        <f t="shared" si="194"/>
        <v>0</v>
      </c>
      <c r="R333" s="110">
        <f t="shared" si="194"/>
        <v>2510000</v>
      </c>
      <c r="S333" s="110">
        <f t="shared" si="194"/>
        <v>2509431.92</v>
      </c>
      <c r="T333" s="111">
        <f t="shared" ref="T333:T342" si="195">S333/R333</f>
        <v>0.99977367330677291</v>
      </c>
      <c r="U333" s="110">
        <f t="shared" si="194"/>
        <v>2509431.92</v>
      </c>
      <c r="V333" s="142">
        <f t="shared" ref="V333" si="196">U333/R333</f>
        <v>0.99977367330677291</v>
      </c>
      <c r="W333" s="110">
        <f>SUM(W334:W335)</f>
        <v>2509431.92</v>
      </c>
      <c r="X333" s="112">
        <f t="shared" ref="X333" si="197">W333/R333</f>
        <v>0.99977367330677291</v>
      </c>
      <c r="Y333" s="75"/>
    </row>
    <row r="334" spans="1:25" s="90" customFormat="1" ht="39" customHeight="1" x14ac:dyDescent="0.2">
      <c r="A334" s="123" t="s">
        <v>130</v>
      </c>
      <c r="B334" s="78" t="s">
        <v>131</v>
      </c>
      <c r="C334" s="79" t="s">
        <v>108</v>
      </c>
      <c r="D334" s="80" t="s">
        <v>259</v>
      </c>
      <c r="E334" s="81" t="s">
        <v>73</v>
      </c>
      <c r="F334" s="82" t="s">
        <v>112</v>
      </c>
      <c r="G334" s="83">
        <v>1</v>
      </c>
      <c r="H334" s="79" t="s">
        <v>134</v>
      </c>
      <c r="I334" s="129" t="s">
        <v>135</v>
      </c>
      <c r="J334" s="85">
        <v>3</v>
      </c>
      <c r="K334" s="86">
        <v>5000000</v>
      </c>
      <c r="L334" s="87">
        <v>0</v>
      </c>
      <c r="M334" s="87">
        <v>0</v>
      </c>
      <c r="N334" s="86">
        <f t="shared" si="190"/>
        <v>5000000</v>
      </c>
      <c r="O334" s="87">
        <f>5000000</f>
        <v>5000000</v>
      </c>
      <c r="P334" s="87">
        <v>0</v>
      </c>
      <c r="Q334" s="87">
        <v>0</v>
      </c>
      <c r="R334" s="86">
        <f t="shared" si="176"/>
        <v>0</v>
      </c>
      <c r="S334" s="87">
        <v>0</v>
      </c>
      <c r="T334" s="88">
        <v>0</v>
      </c>
      <c r="U334" s="87">
        <v>0</v>
      </c>
      <c r="V334" s="88">
        <v>0</v>
      </c>
      <c r="W334" s="87">
        <v>0</v>
      </c>
      <c r="X334" s="89">
        <v>0</v>
      </c>
      <c r="Y334" s="65"/>
    </row>
    <row r="335" spans="1:25" s="90" customFormat="1" ht="39" customHeight="1" x14ac:dyDescent="0.2">
      <c r="A335" s="123" t="s">
        <v>130</v>
      </c>
      <c r="B335" s="78" t="s">
        <v>131</v>
      </c>
      <c r="C335" s="79" t="s">
        <v>108</v>
      </c>
      <c r="D335" s="80" t="s">
        <v>259</v>
      </c>
      <c r="E335" s="81" t="s">
        <v>73</v>
      </c>
      <c r="F335" s="82" t="s">
        <v>112</v>
      </c>
      <c r="G335" s="83">
        <v>1</v>
      </c>
      <c r="H335" s="113" t="s">
        <v>61</v>
      </c>
      <c r="I335" s="114" t="s">
        <v>62</v>
      </c>
      <c r="J335" s="85">
        <v>3</v>
      </c>
      <c r="K335" s="86">
        <v>0</v>
      </c>
      <c r="L335" s="87">
        <f>2510000</f>
        <v>2510000</v>
      </c>
      <c r="M335" s="87">
        <v>0</v>
      </c>
      <c r="N335" s="86">
        <f t="shared" si="190"/>
        <v>2510000</v>
      </c>
      <c r="O335" s="87">
        <f>1250000-1250000</f>
        <v>0</v>
      </c>
      <c r="P335" s="87">
        <v>0</v>
      </c>
      <c r="Q335" s="87">
        <v>0</v>
      </c>
      <c r="R335" s="86">
        <f t="shared" si="176"/>
        <v>2510000</v>
      </c>
      <c r="S335" s="87">
        <f>1251724.32+1257707.6</f>
        <v>2509431.92</v>
      </c>
      <c r="T335" s="88">
        <f t="shared" si="195"/>
        <v>0.99977367330677291</v>
      </c>
      <c r="U335" s="87">
        <f>1251724.32+1257707.6</f>
        <v>2509431.92</v>
      </c>
      <c r="V335" s="88">
        <f t="shared" si="163"/>
        <v>0.99977367330677291</v>
      </c>
      <c r="W335" s="87">
        <f>1251724.32+1257707.6</f>
        <v>2509431.92</v>
      </c>
      <c r="X335" s="89">
        <f t="shared" si="174"/>
        <v>0.99977367330677291</v>
      </c>
      <c r="Y335" s="65"/>
    </row>
    <row r="336" spans="1:25" s="65" customFormat="1" ht="9" customHeight="1" x14ac:dyDescent="0.2">
      <c r="A336" s="91"/>
      <c r="B336" s="92"/>
      <c r="C336" s="93"/>
      <c r="D336" s="94"/>
      <c r="E336" s="95"/>
      <c r="F336" s="96"/>
      <c r="G336" s="97"/>
      <c r="H336" s="93"/>
      <c r="I336" s="98"/>
      <c r="J336" s="99"/>
      <c r="K336" s="100"/>
      <c r="L336" s="101"/>
      <c r="M336" s="101"/>
      <c r="N336" s="100"/>
      <c r="O336" s="101"/>
      <c r="P336" s="101"/>
      <c r="Q336" s="101"/>
      <c r="R336" s="100"/>
      <c r="S336" s="101"/>
      <c r="T336" s="143"/>
      <c r="U336" s="101"/>
      <c r="V336" s="143"/>
      <c r="W336" s="101"/>
      <c r="X336" s="144"/>
    </row>
    <row r="337" spans="1:25" s="76" customFormat="1" ht="39" customHeight="1" x14ac:dyDescent="0.2">
      <c r="A337" s="130" t="s">
        <v>130</v>
      </c>
      <c r="B337" s="105" t="s">
        <v>138</v>
      </c>
      <c r="C337" s="106"/>
      <c r="D337" s="107" t="s">
        <v>260</v>
      </c>
      <c r="E337" s="108" t="s">
        <v>73</v>
      </c>
      <c r="F337" s="105" t="s">
        <v>120</v>
      </c>
      <c r="G337" s="109"/>
      <c r="H337" s="109"/>
      <c r="I337" s="109"/>
      <c r="J337" s="106"/>
      <c r="K337" s="110">
        <f>SUM(K338:K339)</f>
        <v>2000000</v>
      </c>
      <c r="L337" s="110">
        <f t="shared" ref="L337:S337" si="198">SUM(L338:L339)</f>
        <v>790000</v>
      </c>
      <c r="M337" s="110">
        <f t="shared" si="198"/>
        <v>933000</v>
      </c>
      <c r="N337" s="110">
        <f t="shared" si="198"/>
        <v>1857000</v>
      </c>
      <c r="O337" s="110">
        <f t="shared" si="198"/>
        <v>1067000</v>
      </c>
      <c r="P337" s="110">
        <f t="shared" si="198"/>
        <v>0</v>
      </c>
      <c r="Q337" s="110">
        <f t="shared" si="198"/>
        <v>0</v>
      </c>
      <c r="R337" s="110">
        <f t="shared" si="198"/>
        <v>790000</v>
      </c>
      <c r="S337" s="110">
        <f t="shared" si="198"/>
        <v>784531.44</v>
      </c>
      <c r="T337" s="111">
        <f t="shared" ref="T337:T339" si="199">S337/R337</f>
        <v>0.99307777215189863</v>
      </c>
      <c r="U337" s="110">
        <f>SUM(U338:U339)</f>
        <v>784531.44</v>
      </c>
      <c r="V337" s="142">
        <f t="shared" ref="V337:V339" si="200">U337/R337</f>
        <v>0.99307777215189863</v>
      </c>
      <c r="W337" s="110">
        <f>SUM(W338:W339)</f>
        <v>784531.44</v>
      </c>
      <c r="X337" s="112">
        <f t="shared" ref="X337:X339" si="201">W337/R337</f>
        <v>0.99307777215189863</v>
      </c>
      <c r="Y337" s="75"/>
    </row>
    <row r="338" spans="1:25" s="90" customFormat="1" ht="39" customHeight="1" x14ac:dyDescent="0.2">
      <c r="A338" s="123" t="s">
        <v>130</v>
      </c>
      <c r="B338" s="78" t="s">
        <v>131</v>
      </c>
      <c r="C338" s="79" t="s">
        <v>108</v>
      </c>
      <c r="D338" s="80" t="s">
        <v>260</v>
      </c>
      <c r="E338" s="81" t="s">
        <v>73</v>
      </c>
      <c r="F338" s="82" t="s">
        <v>120</v>
      </c>
      <c r="G338" s="83">
        <v>1</v>
      </c>
      <c r="H338" s="79" t="s">
        <v>134</v>
      </c>
      <c r="I338" s="129" t="s">
        <v>135</v>
      </c>
      <c r="J338" s="85">
        <v>3</v>
      </c>
      <c r="K338" s="86">
        <v>2000000</v>
      </c>
      <c r="L338" s="87">
        <v>0</v>
      </c>
      <c r="M338" s="87">
        <f>933000</f>
        <v>933000</v>
      </c>
      <c r="N338" s="86">
        <f t="shared" ref="N338:N339" si="202">K338+L338-M338</f>
        <v>1067000</v>
      </c>
      <c r="O338" s="87">
        <f>1067000</f>
        <v>1067000</v>
      </c>
      <c r="P338" s="87">
        <v>0</v>
      </c>
      <c r="Q338" s="87">
        <v>0</v>
      </c>
      <c r="R338" s="86">
        <f t="shared" ref="R338:R339" si="203">N338-O338+P338+Q338</f>
        <v>0</v>
      </c>
      <c r="S338" s="87">
        <v>0</v>
      </c>
      <c r="T338" s="88">
        <v>0</v>
      </c>
      <c r="U338" s="87">
        <v>0</v>
      </c>
      <c r="V338" s="145">
        <v>0</v>
      </c>
      <c r="W338" s="87">
        <v>0</v>
      </c>
      <c r="X338" s="89">
        <v>0</v>
      </c>
      <c r="Y338" s="65"/>
    </row>
    <row r="339" spans="1:25" s="90" customFormat="1" ht="39" customHeight="1" thickBot="1" x14ac:dyDescent="0.25">
      <c r="A339" s="123" t="s">
        <v>130</v>
      </c>
      <c r="B339" s="78" t="s">
        <v>131</v>
      </c>
      <c r="C339" s="79" t="s">
        <v>108</v>
      </c>
      <c r="D339" s="80" t="s">
        <v>260</v>
      </c>
      <c r="E339" s="81" t="s">
        <v>73</v>
      </c>
      <c r="F339" s="82" t="s">
        <v>120</v>
      </c>
      <c r="G339" s="83">
        <v>1</v>
      </c>
      <c r="H339" s="113" t="s">
        <v>61</v>
      </c>
      <c r="I339" s="114" t="s">
        <v>62</v>
      </c>
      <c r="J339" s="85">
        <v>3</v>
      </c>
      <c r="K339" s="86">
        <v>0</v>
      </c>
      <c r="L339" s="87">
        <f>790000</f>
        <v>790000</v>
      </c>
      <c r="M339" s="87">
        <v>0</v>
      </c>
      <c r="N339" s="86">
        <f t="shared" si="202"/>
        <v>790000</v>
      </c>
      <c r="O339" s="87">
        <f>395000-395000</f>
        <v>0</v>
      </c>
      <c r="P339" s="87">
        <v>0</v>
      </c>
      <c r="Q339" s="87">
        <v>0</v>
      </c>
      <c r="R339" s="86">
        <f t="shared" si="203"/>
        <v>790000</v>
      </c>
      <c r="S339" s="87">
        <f>392895.36+391636.08</f>
        <v>784531.44</v>
      </c>
      <c r="T339" s="88">
        <f t="shared" si="199"/>
        <v>0.99307777215189863</v>
      </c>
      <c r="U339" s="87">
        <f>392895.36+391636.08</f>
        <v>784531.44</v>
      </c>
      <c r="V339" s="145">
        <f t="shared" si="200"/>
        <v>0.99307777215189863</v>
      </c>
      <c r="W339" s="87">
        <f>392895.36+391636.08</f>
        <v>784531.44</v>
      </c>
      <c r="X339" s="89">
        <f t="shared" si="201"/>
        <v>0.99307777215189863</v>
      </c>
      <c r="Y339" s="65"/>
    </row>
    <row r="340" spans="1:25" s="76" customFormat="1" ht="39" customHeight="1" thickBot="1" x14ac:dyDescent="0.25">
      <c r="A340" s="117" t="s">
        <v>261</v>
      </c>
      <c r="B340" s="118"/>
      <c r="C340" s="118"/>
      <c r="D340" s="118"/>
      <c r="E340" s="118"/>
      <c r="F340" s="118"/>
      <c r="G340" s="118"/>
      <c r="H340" s="118"/>
      <c r="I340" s="118"/>
      <c r="J340" s="119"/>
      <c r="K340" s="120">
        <f>K119+K125+K134+K142+K146+K150+K153+K156+K159+K163+K171+K178+K182+K188+K192+K198+K205+K212+K218+K221+K226+K230+K233+K237+K241+K244+K247+K250+K253+K257+K260+K264+K268+K274+K279+K284+K288+K291+K294+K298+K302+K305+K310+K314+K318+K324+K329+K333+K337</f>
        <v>185246272</v>
      </c>
      <c r="L340" s="120">
        <f t="shared" ref="L340:S340" si="204">L119+L125+L134+L142+L146+L150+L153+L156+L159+L163+L171+L178+L182+L188+L192+L198+L205+L212+L218+L221+L226+L230+L233+L237+L241+L244+L247+L250+L253+L257+L260+L264+L268+L274+L279+L284+L288+L291+L294+L298+L302+L305+L310+L314+L318+L324+L329+L333+L337</f>
        <v>44167249.520000003</v>
      </c>
      <c r="M340" s="120">
        <f t="shared" si="204"/>
        <v>9173266</v>
      </c>
      <c r="N340" s="120">
        <f t="shared" si="204"/>
        <v>220240255.51999998</v>
      </c>
      <c r="O340" s="120">
        <f t="shared" si="204"/>
        <v>45708730.439999998</v>
      </c>
      <c r="P340" s="120">
        <f t="shared" si="204"/>
        <v>0</v>
      </c>
      <c r="Q340" s="120">
        <f t="shared" si="204"/>
        <v>-2204229.96</v>
      </c>
      <c r="R340" s="120">
        <f t="shared" si="204"/>
        <v>172327295.11999997</v>
      </c>
      <c r="S340" s="120">
        <f t="shared" si="204"/>
        <v>107785428.07000001</v>
      </c>
      <c r="T340" s="121">
        <f t="shared" si="195"/>
        <v>0.62546927342498881</v>
      </c>
      <c r="U340" s="120">
        <f>U119+U125+U134+U142+U146+U150+U153+U156+U159+U163+U171+U178+U182+U188+U192+U198+U205+U212+U218+U221+U226+U230+U233+U237+U241+U244+U247+U250+U253+U257+U260+U264+U268+U274+U279+U284+U288+U291+U294+U298+U302+U305+U310+U314+U318+U324+U329+U333+U337</f>
        <v>96278595.951100022</v>
      </c>
      <c r="V340" s="121">
        <f t="shared" si="163"/>
        <v>0.55869614783924104</v>
      </c>
      <c r="W340" s="120">
        <f>W119+W125+W134+W142+W146+W150+W153+W156+W159+W163+W171+W178+W182+W188+W192+W198+W205+W212+W218+W221+W226+W230+W233+W237+W241+W244+W247+W250+W253+W257+W260+W264+W268+W274+W279+W284+W288+W291+W294+W298+W302+W305+W310+W314+W318+W324+W329+W333+W337</f>
        <v>94751352.14000003</v>
      </c>
      <c r="X340" s="122">
        <f>W340/R340</f>
        <v>0.54983368754218531</v>
      </c>
      <c r="Y340" s="146"/>
    </row>
    <row r="341" spans="1:25" s="65" customFormat="1" ht="12" customHeight="1" thickBot="1" x14ac:dyDescent="0.25">
      <c r="A341" s="91"/>
      <c r="B341" s="92"/>
      <c r="C341" s="93"/>
      <c r="D341" s="94"/>
      <c r="E341" s="95"/>
      <c r="F341" s="96"/>
      <c r="G341" s="97"/>
      <c r="H341" s="93"/>
      <c r="I341" s="98"/>
      <c r="J341" s="99"/>
      <c r="K341" s="100"/>
      <c r="L341" s="101"/>
      <c r="M341" s="101"/>
      <c r="N341" s="100"/>
      <c r="O341" s="101"/>
      <c r="P341" s="101"/>
      <c r="Q341" s="101"/>
      <c r="R341" s="100"/>
      <c r="S341" s="101"/>
      <c r="T341" s="102"/>
      <c r="U341" s="101"/>
      <c r="V341" s="102"/>
      <c r="W341" s="101"/>
      <c r="X341" s="103"/>
    </row>
    <row r="342" spans="1:25" s="76" customFormat="1" ht="39" customHeight="1" thickBot="1" x14ac:dyDescent="0.25">
      <c r="A342" s="147" t="s">
        <v>262</v>
      </c>
      <c r="B342" s="148"/>
      <c r="C342" s="148"/>
      <c r="D342" s="148"/>
      <c r="E342" s="148"/>
      <c r="F342" s="148"/>
      <c r="G342" s="148"/>
      <c r="H342" s="148"/>
      <c r="I342" s="148"/>
      <c r="J342" s="149"/>
      <c r="K342" s="120">
        <f>K117+K340</f>
        <v>1262665215</v>
      </c>
      <c r="L342" s="120">
        <f t="shared" ref="L342:S342" si="205">L117+L340</f>
        <v>116842077.23000002</v>
      </c>
      <c r="M342" s="120">
        <f t="shared" si="205"/>
        <v>56237701</v>
      </c>
      <c r="N342" s="120">
        <f t="shared" si="205"/>
        <v>1323269591.23</v>
      </c>
      <c r="O342" s="120">
        <f t="shared" si="205"/>
        <v>55453500.530000001</v>
      </c>
      <c r="P342" s="120">
        <f t="shared" si="205"/>
        <v>0</v>
      </c>
      <c r="Q342" s="120">
        <f t="shared" si="205"/>
        <v>-13393171.84</v>
      </c>
      <c r="R342" s="120">
        <f t="shared" si="205"/>
        <v>1254422918.8599999</v>
      </c>
      <c r="S342" s="120">
        <f t="shared" si="205"/>
        <v>918994552.06000006</v>
      </c>
      <c r="T342" s="121">
        <f t="shared" si="195"/>
        <v>0.73260344517235709</v>
      </c>
      <c r="U342" s="120">
        <f>U117+U340</f>
        <v>902162712.42110002</v>
      </c>
      <c r="V342" s="121">
        <f t="shared" si="163"/>
        <v>0.71918545082145946</v>
      </c>
      <c r="W342" s="120">
        <f>W117+W340</f>
        <v>888070020.57000005</v>
      </c>
      <c r="X342" s="122">
        <f>W342/R342</f>
        <v>0.70795104842078649</v>
      </c>
      <c r="Y342" s="75"/>
    </row>
    <row r="343" spans="1:25" s="150" customFormat="1" ht="16.5" customHeight="1" x14ac:dyDescent="0.2">
      <c r="A343" s="150" t="s">
        <v>263</v>
      </c>
      <c r="B343" s="151"/>
      <c r="E343" s="152"/>
      <c r="F343" s="153"/>
      <c r="G343" s="154"/>
      <c r="H343" s="154"/>
      <c r="I343" s="155"/>
      <c r="J343" s="154"/>
      <c r="K343" s="154"/>
      <c r="L343" s="154"/>
      <c r="M343" s="154"/>
      <c r="N343" s="154"/>
      <c r="O343" s="154"/>
      <c r="P343" s="154"/>
      <c r="Q343" s="156"/>
      <c r="R343" s="154"/>
      <c r="S343" s="154"/>
      <c r="T343" s="154"/>
      <c r="U343" s="154"/>
    </row>
    <row r="344" spans="1:25" s="159" customFormat="1" ht="16.5" customHeight="1" x14ac:dyDescent="0.2">
      <c r="A344" s="157" t="s">
        <v>264</v>
      </c>
      <c r="B344" s="157"/>
      <c r="C344" s="157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8"/>
    </row>
    <row r="345" spans="1:25" s="159" customFormat="1" ht="16.5" customHeight="1" x14ac:dyDescent="0.2">
      <c r="A345" s="160" t="s">
        <v>265</v>
      </c>
      <c r="B345" s="160"/>
      <c r="C345" s="160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58"/>
    </row>
    <row r="346" spans="1:25" s="159" customFormat="1" ht="16.5" customHeight="1" x14ac:dyDescent="0.2">
      <c r="A346" s="160" t="s">
        <v>266</v>
      </c>
      <c r="B346" s="160"/>
      <c r="C346" s="160"/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58"/>
    </row>
    <row r="347" spans="1:25" ht="12.75" customHeight="1" x14ac:dyDescent="0.2">
      <c r="A347" s="161" t="s">
        <v>267</v>
      </c>
      <c r="B347" s="162" t="s">
        <v>268</v>
      </c>
      <c r="C347" s="162"/>
      <c r="D347" s="163" t="s">
        <v>269</v>
      </c>
      <c r="E347" s="164" t="s">
        <v>270</v>
      </c>
      <c r="F347" s="164"/>
      <c r="G347" s="165" t="s">
        <v>269</v>
      </c>
      <c r="H347" s="165"/>
      <c r="I347" s="164" t="s">
        <v>271</v>
      </c>
      <c r="J347" s="164"/>
      <c r="K347" s="164"/>
      <c r="L347" s="163" t="s">
        <v>269</v>
      </c>
      <c r="M347" s="164" t="s">
        <v>272</v>
      </c>
      <c r="N347" s="164"/>
      <c r="O347" s="164"/>
      <c r="P347" s="163"/>
      <c r="Q347" s="162"/>
      <c r="R347" s="162"/>
      <c r="S347" s="162"/>
      <c r="T347" s="162"/>
      <c r="U347" s="166"/>
      <c r="V347" s="167"/>
      <c r="W347" s="168"/>
      <c r="X347" s="169"/>
      <c r="Y347"/>
    </row>
    <row r="348" spans="1:25" ht="12.75" customHeight="1" x14ac:dyDescent="0.2">
      <c r="A348" s="161"/>
      <c r="B348" s="170" t="s">
        <v>273</v>
      </c>
      <c r="C348" s="170"/>
      <c r="D348" s="163" t="s">
        <v>269</v>
      </c>
      <c r="E348" s="164" t="s">
        <v>274</v>
      </c>
      <c r="F348" s="164"/>
      <c r="G348" s="165" t="s">
        <v>269</v>
      </c>
      <c r="H348" s="165"/>
      <c r="I348" s="164" t="s">
        <v>275</v>
      </c>
      <c r="J348" s="164"/>
      <c r="K348" s="164"/>
      <c r="L348" s="163" t="s">
        <v>269</v>
      </c>
      <c r="M348" s="164" t="s">
        <v>276</v>
      </c>
      <c r="N348" s="164"/>
      <c r="O348" s="164"/>
      <c r="P348" s="163"/>
      <c r="Q348" s="162"/>
      <c r="R348" s="162"/>
      <c r="S348" s="162"/>
      <c r="T348" s="162"/>
      <c r="U348" s="166"/>
      <c r="V348" s="167"/>
      <c r="W348" s="168"/>
      <c r="X348" s="169"/>
      <c r="Y348"/>
    </row>
    <row r="349" spans="1:25" ht="12.75" customHeight="1" x14ac:dyDescent="0.2">
      <c r="A349" s="161"/>
      <c r="B349" s="171"/>
      <c r="C349" s="171"/>
      <c r="D349" s="172" t="s">
        <v>269</v>
      </c>
      <c r="E349" s="164" t="s">
        <v>277</v>
      </c>
      <c r="F349" s="164"/>
      <c r="G349" s="165" t="s">
        <v>269</v>
      </c>
      <c r="H349" s="165"/>
      <c r="I349" s="164" t="s">
        <v>278</v>
      </c>
      <c r="J349" s="164"/>
      <c r="K349" s="164"/>
      <c r="L349" s="163" t="s">
        <v>269</v>
      </c>
      <c r="M349" s="164" t="s">
        <v>279</v>
      </c>
      <c r="N349" s="164"/>
      <c r="O349" s="164"/>
      <c r="P349" s="163"/>
      <c r="Q349" s="173"/>
      <c r="R349" s="173"/>
      <c r="S349" s="173"/>
      <c r="T349" s="173"/>
      <c r="U349" s="166"/>
      <c r="V349" s="167"/>
      <c r="W349" s="168"/>
      <c r="X349" s="169"/>
      <c r="Y349"/>
    </row>
    <row r="350" spans="1:25" s="159" customFormat="1" ht="16.5" customHeight="1" x14ac:dyDescent="0.2">
      <c r="A350" s="160" t="s">
        <v>280</v>
      </c>
      <c r="B350" s="160"/>
      <c r="C350" s="160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58"/>
    </row>
    <row r="351" spans="1:25" ht="12.75" customHeight="1" x14ac:dyDescent="0.2">
      <c r="A351" s="161"/>
      <c r="B351" s="174"/>
      <c r="C351" s="162" t="s">
        <v>281</v>
      </c>
      <c r="D351" s="162"/>
      <c r="E351" s="162"/>
      <c r="F351" s="162" t="s">
        <v>282</v>
      </c>
      <c r="G351" s="162"/>
      <c r="H351" s="162"/>
      <c r="I351" s="175"/>
      <c r="J351" s="176"/>
      <c r="K351" s="177"/>
      <c r="Q351" s="178"/>
      <c r="S351" s="166"/>
      <c r="U351" s="166"/>
      <c r="V351" s="167"/>
      <c r="W351" s="168"/>
      <c r="X351" s="169"/>
      <c r="Y351"/>
    </row>
    <row r="352" spans="1:25" s="159" customFormat="1" ht="16.5" customHeight="1" x14ac:dyDescent="0.2">
      <c r="A352" s="160" t="s">
        <v>283</v>
      </c>
      <c r="B352" s="160"/>
      <c r="C352" s="160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58"/>
    </row>
    <row r="353" spans="1:25" ht="12.75" customHeight="1" x14ac:dyDescent="0.2">
      <c r="A353" s="161"/>
      <c r="B353" s="174"/>
      <c r="C353" s="162" t="s">
        <v>284</v>
      </c>
      <c r="D353" s="162"/>
      <c r="E353" s="162"/>
      <c r="F353" s="162" t="s">
        <v>285</v>
      </c>
      <c r="G353" s="162"/>
      <c r="H353" s="162"/>
      <c r="I353" s="175"/>
      <c r="J353" s="162" t="s">
        <v>286</v>
      </c>
      <c r="K353" s="162"/>
      <c r="L353" s="162"/>
      <c r="N353" s="162" t="s">
        <v>287</v>
      </c>
      <c r="O353" s="162"/>
      <c r="P353" s="162"/>
      <c r="Q353" s="178"/>
      <c r="S353" s="166"/>
      <c r="U353" s="166"/>
      <c r="V353" s="167"/>
      <c r="W353" s="168"/>
      <c r="X353" s="169"/>
      <c r="Y353"/>
    </row>
    <row r="354" spans="1:25" s="159" customFormat="1" ht="16.5" customHeight="1" x14ac:dyDescent="0.2">
      <c r="A354" s="160" t="s">
        <v>288</v>
      </c>
      <c r="B354" s="160"/>
      <c r="C354" s="160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58"/>
    </row>
    <row r="355" spans="1:25" ht="12.75" customHeight="1" x14ac:dyDescent="0.2">
      <c r="A355" s="162" t="s">
        <v>289</v>
      </c>
      <c r="B355" s="162"/>
      <c r="C355" s="162"/>
      <c r="D355" s="162"/>
      <c r="E355" s="162"/>
      <c r="F355" s="162"/>
      <c r="G355" s="162" t="s">
        <v>290</v>
      </c>
      <c r="H355" s="162"/>
      <c r="I355" s="162"/>
      <c r="J355" s="162"/>
      <c r="K355" s="162"/>
      <c r="L355" s="162"/>
      <c r="M355" s="162"/>
      <c r="N355" s="162"/>
      <c r="O355" s="162" t="s">
        <v>291</v>
      </c>
      <c r="P355" s="162"/>
      <c r="Q355" s="162"/>
      <c r="R355" s="162"/>
      <c r="S355" s="162"/>
      <c r="T355" s="162"/>
      <c r="U355" s="162"/>
      <c r="V355" s="167"/>
      <c r="W355" s="168"/>
      <c r="X355" s="169"/>
      <c r="Y355"/>
    </row>
    <row r="356" spans="1:25" ht="12.75" customHeight="1" x14ac:dyDescent="0.2">
      <c r="A356" s="162" t="s">
        <v>292</v>
      </c>
      <c r="B356" s="162"/>
      <c r="C356" s="162"/>
      <c r="D356" s="162"/>
      <c r="E356" s="162"/>
      <c r="F356" s="162"/>
      <c r="G356" s="162" t="s">
        <v>293</v>
      </c>
      <c r="H356" s="162"/>
      <c r="I356" s="162"/>
      <c r="J356" s="162"/>
      <c r="K356" s="162"/>
      <c r="L356" s="162"/>
      <c r="M356" s="162"/>
      <c r="N356" s="162"/>
      <c r="O356" s="162" t="s">
        <v>294</v>
      </c>
      <c r="P356" s="162"/>
      <c r="Q356" s="162"/>
      <c r="R356" s="162"/>
      <c r="S356" s="162"/>
      <c r="T356" s="162"/>
      <c r="U356" s="162"/>
      <c r="V356" s="167"/>
      <c r="W356" s="168"/>
      <c r="X356" s="169"/>
      <c r="Y356"/>
    </row>
    <row r="357" spans="1:25" ht="12.75" customHeight="1" x14ac:dyDescent="0.2">
      <c r="A357" s="162" t="s">
        <v>295</v>
      </c>
      <c r="B357" s="162"/>
      <c r="C357" s="162"/>
      <c r="D357" s="162"/>
      <c r="E357" s="162"/>
      <c r="F357" s="162"/>
      <c r="G357" s="162" t="s">
        <v>296</v>
      </c>
      <c r="H357" s="162"/>
      <c r="I357" s="162"/>
      <c r="J357" s="162"/>
      <c r="K357" s="162"/>
      <c r="L357" s="162"/>
      <c r="M357" s="162"/>
      <c r="N357" s="162"/>
      <c r="O357" s="162" t="s">
        <v>297</v>
      </c>
      <c r="P357" s="162"/>
      <c r="Q357" s="162"/>
      <c r="R357" s="162"/>
      <c r="S357" s="162"/>
      <c r="T357" s="162"/>
      <c r="U357" s="162"/>
      <c r="V357" s="167"/>
      <c r="W357" s="168"/>
      <c r="X357" s="169"/>
      <c r="Y357"/>
    </row>
    <row r="358" spans="1:25" ht="12.75" customHeight="1" x14ac:dyDescent="0.2">
      <c r="A358" s="162" t="s">
        <v>298</v>
      </c>
      <c r="B358" s="162"/>
      <c r="C358" s="162"/>
      <c r="D358" s="162"/>
      <c r="E358" s="162"/>
      <c r="F358" s="162"/>
      <c r="G358" s="162" t="s">
        <v>299</v>
      </c>
      <c r="H358" s="162"/>
      <c r="I358" s="162"/>
      <c r="J358" s="162"/>
      <c r="K358" s="162"/>
      <c r="L358" s="162"/>
      <c r="M358" s="162"/>
      <c r="N358" s="162"/>
      <c r="O358" s="162" t="s">
        <v>300</v>
      </c>
      <c r="P358" s="162"/>
      <c r="Q358" s="162"/>
      <c r="R358" s="162"/>
      <c r="S358" s="162"/>
      <c r="T358" s="162"/>
      <c r="U358" s="162"/>
      <c r="V358" s="167"/>
      <c r="W358" s="168"/>
      <c r="X358" s="169"/>
      <c r="Y358"/>
    </row>
    <row r="359" spans="1:25" s="159" customFormat="1" ht="16.5" customHeight="1" x14ac:dyDescent="0.2">
      <c r="A359" s="160" t="s">
        <v>301</v>
      </c>
      <c r="B359" s="160"/>
      <c r="C359" s="160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58"/>
    </row>
    <row r="360" spans="1:25" s="159" customFormat="1" ht="45" customHeight="1" x14ac:dyDescent="0.25">
      <c r="A360" s="180"/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58"/>
    </row>
    <row r="362" spans="1:25" x14ac:dyDescent="0.2">
      <c r="N362" s="186"/>
      <c r="O362" s="187"/>
      <c r="P362" s="187"/>
      <c r="Q362" s="187"/>
      <c r="S362" s="187"/>
      <c r="T362" s="187"/>
      <c r="U362" s="187"/>
      <c r="V362" s="187"/>
      <c r="W362" s="187"/>
    </row>
    <row r="363" spans="1:25" ht="6" customHeight="1" x14ac:dyDescent="0.2">
      <c r="N363" s="186"/>
      <c r="O363" s="190"/>
      <c r="P363" s="190"/>
      <c r="Q363" s="190"/>
      <c r="S363" s="190"/>
      <c r="T363" s="190"/>
      <c r="U363" s="190"/>
      <c r="V363" s="190"/>
      <c r="W363" s="190"/>
    </row>
    <row r="364" spans="1:25" x14ac:dyDescent="0.2">
      <c r="J364" s="191"/>
      <c r="M364" s="192"/>
      <c r="N364" s="186"/>
      <c r="O364" s="190"/>
      <c r="P364" s="190"/>
      <c r="Q364" s="193"/>
      <c r="R364" s="190"/>
      <c r="S364" s="190"/>
      <c r="T364" s="190"/>
      <c r="U364" s="190"/>
      <c r="V364" s="194"/>
      <c r="W364" s="193"/>
      <c r="X364" s="194"/>
      <c r="Y364" s="193"/>
    </row>
    <row r="365" spans="1:25" x14ac:dyDescent="0.2">
      <c r="I365" s="192"/>
      <c r="J365" s="191"/>
      <c r="M365" s="192"/>
      <c r="N365" s="195"/>
      <c r="O365" s="190"/>
      <c r="P365" s="190"/>
      <c r="Q365" s="193"/>
      <c r="R365" s="190"/>
      <c r="S365" s="190"/>
      <c r="T365" s="196"/>
      <c r="U365" s="190"/>
      <c r="V365" s="194"/>
      <c r="W365" s="193"/>
      <c r="X365" s="194"/>
      <c r="Y365" s="193"/>
    </row>
    <row r="366" spans="1:25" x14ac:dyDescent="0.2">
      <c r="I366" s="192"/>
      <c r="J366" s="195"/>
      <c r="M366" s="192"/>
      <c r="N366" s="195"/>
      <c r="O366" s="197"/>
      <c r="P366" s="197"/>
      <c r="Q366" s="197"/>
      <c r="T366" s="198"/>
      <c r="V366" s="198"/>
      <c r="W366" s="198"/>
      <c r="Y366" s="199"/>
    </row>
    <row r="367" spans="1:25" x14ac:dyDescent="0.2">
      <c r="I367" s="192"/>
      <c r="J367" s="195"/>
      <c r="M367" s="192"/>
      <c r="N367" s="195"/>
      <c r="O367" s="197"/>
      <c r="P367" s="197"/>
      <c r="Q367" s="197"/>
      <c r="T367" s="198"/>
      <c r="V367" s="198"/>
      <c r="W367" s="198"/>
      <c r="X367" s="198"/>
      <c r="Y367" s="199"/>
    </row>
    <row r="368" spans="1:25" x14ac:dyDescent="0.2">
      <c r="I368" s="192"/>
      <c r="J368" s="195"/>
      <c r="M368" s="192"/>
      <c r="N368" s="195"/>
      <c r="O368" s="197"/>
      <c r="P368" s="197"/>
      <c r="Q368" s="197"/>
      <c r="T368" s="198"/>
      <c r="V368" s="198"/>
      <c r="W368" s="198"/>
      <c r="X368" s="198"/>
      <c r="Y368" s="199"/>
    </row>
    <row r="369" spans="1:25" s="208" customFormat="1" x14ac:dyDescent="0.2">
      <c r="A369" s="200"/>
      <c r="B369" s="201"/>
      <c r="C369" s="202"/>
      <c r="D369" s="202"/>
      <c r="E369" s="201"/>
      <c r="F369" s="201"/>
      <c r="G369" s="202"/>
      <c r="H369" s="203"/>
      <c r="I369" s="192"/>
      <c r="J369" s="204"/>
      <c r="K369" s="205"/>
      <c r="L369" s="205"/>
      <c r="M369" s="192"/>
      <c r="N369" s="195"/>
      <c r="O369" s="206"/>
      <c r="P369" s="206"/>
      <c r="Q369" s="206"/>
      <c r="R369" s="205"/>
      <c r="S369" s="207"/>
      <c r="T369" s="207"/>
      <c r="U369" s="207"/>
      <c r="V369" s="207"/>
      <c r="W369" s="207"/>
      <c r="X369" s="194"/>
      <c r="Y369" s="205"/>
    </row>
    <row r="370" spans="1:25" x14ac:dyDescent="0.2">
      <c r="M370" s="184"/>
      <c r="N370" s="209"/>
      <c r="S370" s="210"/>
      <c r="T370" s="211"/>
      <c r="U370" s="210"/>
      <c r="V370" s="211"/>
      <c r="W370" s="210"/>
    </row>
    <row r="371" spans="1:25" x14ac:dyDescent="0.2">
      <c r="I371" s="192"/>
      <c r="J371" s="191"/>
      <c r="M371" s="192"/>
      <c r="N371" s="195"/>
      <c r="O371" s="190"/>
      <c r="P371" s="190"/>
      <c r="Q371" s="193"/>
      <c r="R371" s="190"/>
      <c r="S371" s="190"/>
      <c r="T371" s="196"/>
      <c r="U371" s="190"/>
      <c r="V371" s="194"/>
      <c r="W371" s="193"/>
      <c r="X371" s="194"/>
      <c r="Y371" s="193"/>
    </row>
    <row r="372" spans="1:25" x14ac:dyDescent="0.2">
      <c r="I372" s="192"/>
      <c r="J372" s="195"/>
      <c r="M372" s="192"/>
      <c r="N372" s="195"/>
      <c r="S372" s="166"/>
      <c r="T372" s="166"/>
      <c r="U372" s="166"/>
      <c r="V372" s="166"/>
      <c r="Y372" s="199"/>
    </row>
    <row r="373" spans="1:25" x14ac:dyDescent="0.2">
      <c r="I373" s="192"/>
      <c r="J373" s="195"/>
      <c r="M373" s="192"/>
      <c r="N373" s="195"/>
      <c r="T373" s="198"/>
      <c r="V373" s="198"/>
      <c r="W373" s="198"/>
      <c r="Y373" s="199"/>
    </row>
    <row r="374" spans="1:25" x14ac:dyDescent="0.2">
      <c r="I374" s="192"/>
      <c r="J374" s="195"/>
      <c r="M374" s="192"/>
      <c r="N374" s="195"/>
      <c r="T374" s="198"/>
      <c r="V374" s="198"/>
      <c r="W374" s="198"/>
      <c r="Y374" s="199"/>
    </row>
    <row r="375" spans="1:25" s="208" customFormat="1" x14ac:dyDescent="0.2">
      <c r="A375" s="200"/>
      <c r="B375" s="201"/>
      <c r="C375" s="202"/>
      <c r="D375" s="202"/>
      <c r="E375" s="201"/>
      <c r="F375" s="201"/>
      <c r="G375" s="202"/>
      <c r="H375" s="203"/>
      <c r="I375" s="192"/>
      <c r="J375" s="204"/>
      <c r="K375" s="205"/>
      <c r="L375" s="205"/>
      <c r="M375" s="192"/>
      <c r="N375" s="195"/>
      <c r="O375" s="206"/>
      <c r="P375" s="206"/>
      <c r="Q375" s="206"/>
      <c r="R375" s="205"/>
      <c r="S375" s="207"/>
      <c r="T375" s="207"/>
      <c r="U375" s="207"/>
      <c r="V375" s="207"/>
      <c r="W375" s="207"/>
      <c r="X375" s="194"/>
      <c r="Y375" s="205"/>
    </row>
    <row r="376" spans="1:25" x14ac:dyDescent="0.2">
      <c r="M376" s="184"/>
      <c r="N376" s="209"/>
      <c r="S376" s="210"/>
      <c r="T376" s="211"/>
      <c r="U376" s="210"/>
      <c r="V376" s="211"/>
      <c r="W376" s="210"/>
    </row>
    <row r="377" spans="1:25" x14ac:dyDescent="0.2">
      <c r="I377" s="192"/>
      <c r="J377" s="191"/>
      <c r="M377" s="192"/>
      <c r="N377" s="195"/>
      <c r="O377" s="190"/>
      <c r="P377" s="190"/>
      <c r="Q377" s="193"/>
      <c r="R377" s="190"/>
      <c r="S377" s="190"/>
      <c r="T377" s="196"/>
      <c r="U377" s="190"/>
      <c r="V377" s="194"/>
      <c r="W377" s="193"/>
      <c r="X377" s="194"/>
      <c r="Y377" s="193"/>
    </row>
    <row r="378" spans="1:25" x14ac:dyDescent="0.2">
      <c r="I378" s="192"/>
      <c r="J378" s="195"/>
      <c r="M378" s="192"/>
      <c r="N378" s="195"/>
      <c r="O378" s="197"/>
      <c r="P378" s="197"/>
      <c r="Q378" s="197"/>
      <c r="S378" s="166"/>
      <c r="U378" s="166"/>
      <c r="V378" s="188"/>
      <c r="Y378" s="199"/>
    </row>
    <row r="379" spans="1:25" x14ac:dyDescent="0.2">
      <c r="I379" s="192"/>
      <c r="J379" s="195"/>
      <c r="M379" s="192"/>
      <c r="N379" s="195"/>
      <c r="O379" s="197"/>
      <c r="P379" s="197"/>
      <c r="Q379" s="197"/>
      <c r="S379" s="166"/>
      <c r="U379" s="166"/>
      <c r="V379" s="188"/>
      <c r="Y379" s="199"/>
    </row>
    <row r="380" spans="1:25" x14ac:dyDescent="0.2">
      <c r="I380" s="192"/>
      <c r="J380" s="195"/>
      <c r="M380" s="192"/>
      <c r="N380" s="195"/>
      <c r="O380" s="197"/>
      <c r="P380" s="197"/>
      <c r="Q380" s="197"/>
      <c r="V380" s="188"/>
      <c r="W380" s="198"/>
      <c r="Y380" s="199"/>
    </row>
    <row r="381" spans="1:25" x14ac:dyDescent="0.2">
      <c r="I381" s="192"/>
      <c r="J381" s="195"/>
      <c r="M381" s="192"/>
      <c r="N381" s="195"/>
      <c r="O381" s="197"/>
      <c r="P381" s="197"/>
      <c r="Q381" s="197"/>
      <c r="V381" s="188"/>
      <c r="W381" s="198"/>
      <c r="Y381" s="199"/>
    </row>
    <row r="382" spans="1:25" s="208" customFormat="1" x14ac:dyDescent="0.2">
      <c r="A382" s="200"/>
      <c r="B382" s="201"/>
      <c r="C382" s="202"/>
      <c r="D382" s="202"/>
      <c r="E382" s="201"/>
      <c r="F382" s="201"/>
      <c r="G382" s="202"/>
      <c r="H382" s="203"/>
      <c r="I382" s="192"/>
      <c r="J382" s="204"/>
      <c r="K382" s="205"/>
      <c r="L382" s="205"/>
      <c r="M382" s="192"/>
      <c r="N382" s="195"/>
      <c r="O382" s="206"/>
      <c r="P382" s="206"/>
      <c r="Q382" s="206"/>
      <c r="R382" s="205"/>
      <c r="S382" s="207"/>
      <c r="T382" s="196"/>
      <c r="U382" s="207"/>
      <c r="V382" s="194"/>
      <c r="W382" s="207"/>
      <c r="X382" s="194"/>
      <c r="Y382" s="205"/>
    </row>
    <row r="383" spans="1:25" x14ac:dyDescent="0.2">
      <c r="S383" s="210"/>
      <c r="U383" s="210"/>
      <c r="W383" s="210"/>
    </row>
    <row r="386" spans="1:25" x14ac:dyDescent="0.2">
      <c r="N386" s="212"/>
      <c r="O386" s="213"/>
      <c r="P386" s="213"/>
      <c r="Q386" s="213"/>
      <c r="R386" s="212"/>
      <c r="S386" s="213"/>
      <c r="T386" s="213"/>
      <c r="U386" s="213"/>
      <c r="V386" s="213"/>
      <c r="W386" s="213"/>
    </row>
    <row r="387" spans="1:25" x14ac:dyDescent="0.2">
      <c r="J387" s="191"/>
      <c r="M387" s="214"/>
      <c r="N387" s="212"/>
      <c r="O387" s="215"/>
      <c r="P387" s="214"/>
      <c r="Q387" s="193"/>
      <c r="R387" s="212"/>
      <c r="S387" s="215"/>
      <c r="T387" s="215"/>
      <c r="U387" s="215"/>
      <c r="V387" s="194"/>
      <c r="W387" s="193"/>
      <c r="X387" s="194"/>
      <c r="Y387" s="203"/>
    </row>
    <row r="388" spans="1:25" x14ac:dyDescent="0.2">
      <c r="J388" s="191"/>
      <c r="M388" s="214"/>
      <c r="N388" s="216"/>
      <c r="O388" s="215"/>
      <c r="P388" s="214"/>
      <c r="Q388" s="193"/>
      <c r="R388" s="216"/>
      <c r="S388" s="215"/>
      <c r="T388" s="215"/>
      <c r="U388" s="215"/>
      <c r="V388" s="194"/>
      <c r="W388" s="193"/>
      <c r="X388" s="194"/>
      <c r="Y388" s="203"/>
    </row>
    <row r="389" spans="1:25" x14ac:dyDescent="0.2">
      <c r="I389" s="214"/>
      <c r="J389" s="195"/>
      <c r="M389" s="214"/>
      <c r="N389" s="203"/>
      <c r="O389" s="197"/>
      <c r="P389" s="214"/>
      <c r="Q389" s="192"/>
      <c r="R389" s="203"/>
      <c r="S389" s="217"/>
      <c r="T389" s="217"/>
      <c r="U389" s="217"/>
      <c r="V389" s="217"/>
      <c r="W389" s="217"/>
      <c r="Y389" s="203"/>
    </row>
    <row r="390" spans="1:25" x14ac:dyDescent="0.2">
      <c r="I390" s="214"/>
      <c r="J390" s="195"/>
      <c r="M390" s="214"/>
      <c r="N390" s="203"/>
      <c r="O390" s="197"/>
      <c r="P390" s="214"/>
      <c r="Q390" s="192"/>
      <c r="R390" s="203"/>
      <c r="S390" s="217"/>
      <c r="T390" s="217"/>
      <c r="U390" s="217"/>
      <c r="V390" s="217"/>
      <c r="W390" s="217"/>
      <c r="Y390" s="203"/>
    </row>
    <row r="391" spans="1:25" x14ac:dyDescent="0.2">
      <c r="I391" s="214"/>
      <c r="J391" s="195"/>
      <c r="M391" s="214"/>
      <c r="N391" s="203"/>
      <c r="O391" s="197"/>
      <c r="P391" s="214"/>
      <c r="Q391" s="192"/>
      <c r="R391" s="203"/>
      <c r="S391" s="217"/>
      <c r="T391" s="217"/>
      <c r="U391" s="217"/>
      <c r="V391" s="217"/>
      <c r="W391" s="217"/>
      <c r="Y391" s="203"/>
    </row>
    <row r="392" spans="1:25" x14ac:dyDescent="0.2">
      <c r="I392" s="214"/>
      <c r="J392" s="195"/>
      <c r="M392" s="214"/>
      <c r="N392" s="203"/>
      <c r="O392" s="197"/>
      <c r="P392" s="214"/>
      <c r="Q392" s="192"/>
      <c r="R392" s="203"/>
      <c r="S392" s="217"/>
      <c r="T392" s="217"/>
      <c r="U392" s="217"/>
      <c r="V392" s="217"/>
      <c r="W392" s="217"/>
      <c r="Y392" s="203"/>
    </row>
    <row r="393" spans="1:25" x14ac:dyDescent="0.2">
      <c r="I393" s="214"/>
      <c r="J393" s="195"/>
      <c r="M393" s="214"/>
      <c r="N393" s="203"/>
      <c r="O393" s="197"/>
      <c r="P393" s="214"/>
      <c r="Q393" s="192"/>
      <c r="R393" s="203"/>
      <c r="S393" s="217"/>
      <c r="T393" s="217"/>
      <c r="U393" s="217"/>
      <c r="V393" s="217"/>
      <c r="W393" s="217"/>
      <c r="Y393" s="203"/>
    </row>
    <row r="394" spans="1:25" s="208" customFormat="1" x14ac:dyDescent="0.2">
      <c r="A394" s="200"/>
      <c r="B394" s="201"/>
      <c r="C394" s="202"/>
      <c r="D394" s="202"/>
      <c r="E394" s="201"/>
      <c r="F394" s="201"/>
      <c r="G394" s="202"/>
      <c r="H394" s="203"/>
      <c r="I394" s="192"/>
      <c r="J394" s="204"/>
      <c r="K394" s="205"/>
      <c r="L394" s="205"/>
      <c r="M394" s="192"/>
      <c r="N394" s="203"/>
      <c r="O394" s="206"/>
      <c r="P394" s="192"/>
      <c r="Q394" s="192"/>
      <c r="R394" s="203"/>
      <c r="S394" s="218"/>
      <c r="T394" s="218"/>
      <c r="U394" s="218"/>
      <c r="V394" s="218"/>
      <c r="W394" s="218"/>
      <c r="X394" s="194"/>
      <c r="Y394" s="203"/>
    </row>
    <row r="395" spans="1:25" x14ac:dyDescent="0.2">
      <c r="I395" s="192"/>
      <c r="M395" s="192"/>
      <c r="N395" s="219"/>
      <c r="P395" s="192"/>
      <c r="Q395" s="192"/>
      <c r="R395" s="219"/>
      <c r="S395" s="210"/>
      <c r="T395" s="210"/>
      <c r="U395" s="210"/>
      <c r="V395" s="210"/>
      <c r="W395" s="210"/>
      <c r="Y395" s="219"/>
    </row>
    <row r="396" spans="1:25" x14ac:dyDescent="0.2">
      <c r="I396" s="192"/>
      <c r="J396" s="195"/>
      <c r="K396" s="198"/>
      <c r="M396" s="192"/>
      <c r="N396" s="198"/>
      <c r="P396" s="192"/>
      <c r="Q396" s="220"/>
      <c r="R396" s="203"/>
      <c r="T396" s="198"/>
      <c r="V396" s="198"/>
      <c r="W396" s="198"/>
      <c r="Y396" s="203"/>
    </row>
    <row r="397" spans="1:25" x14ac:dyDescent="0.2">
      <c r="I397" s="192"/>
      <c r="J397" s="195"/>
      <c r="K397" s="198"/>
      <c r="M397" s="192"/>
      <c r="N397" s="198"/>
      <c r="P397" s="192"/>
      <c r="Q397" s="192"/>
      <c r="R397" s="203"/>
      <c r="S397" s="217"/>
      <c r="T397" s="217"/>
      <c r="U397" s="217"/>
      <c r="V397" s="217"/>
      <c r="W397" s="217"/>
      <c r="Y397" s="203"/>
    </row>
    <row r="398" spans="1:25" x14ac:dyDescent="0.2">
      <c r="I398" s="192"/>
      <c r="J398" s="195"/>
      <c r="K398" s="198"/>
      <c r="M398" s="192"/>
      <c r="N398" s="198"/>
      <c r="P398" s="192"/>
      <c r="Q398" s="192"/>
      <c r="R398" s="203"/>
      <c r="S398" s="217"/>
      <c r="T398" s="217"/>
      <c r="U398" s="217"/>
      <c r="V398" s="217"/>
      <c r="W398" s="217"/>
      <c r="Y398" s="203"/>
    </row>
    <row r="399" spans="1:25" s="208" customFormat="1" x14ac:dyDescent="0.2">
      <c r="A399" s="200"/>
      <c r="B399" s="201"/>
      <c r="C399" s="202"/>
      <c r="D399" s="202"/>
      <c r="E399" s="201"/>
      <c r="F399" s="201"/>
      <c r="G399" s="202"/>
      <c r="H399" s="203"/>
      <c r="I399" s="192"/>
      <c r="J399" s="204"/>
      <c r="K399" s="207"/>
      <c r="L399" s="205"/>
      <c r="M399" s="192"/>
      <c r="N399" s="207"/>
      <c r="O399" s="206"/>
      <c r="P399" s="192"/>
      <c r="Q399" s="192"/>
      <c r="R399" s="203"/>
      <c r="S399" s="217"/>
      <c r="T399" s="217"/>
      <c r="U399" s="217"/>
      <c r="V399" s="217"/>
      <c r="W399" s="217"/>
      <c r="X399" s="194"/>
      <c r="Y399" s="203"/>
    </row>
    <row r="400" spans="1:25" x14ac:dyDescent="0.2">
      <c r="K400" s="210"/>
      <c r="M400" s="184"/>
      <c r="N400" s="210"/>
      <c r="Q400" s="192"/>
      <c r="R400" s="203"/>
      <c r="S400" s="217"/>
      <c r="T400" s="217"/>
      <c r="U400" s="217"/>
      <c r="V400" s="217"/>
      <c r="W400" s="217"/>
    </row>
    <row r="401" spans="1:25" x14ac:dyDescent="0.2">
      <c r="I401" s="192"/>
      <c r="J401" s="191"/>
      <c r="M401" s="192"/>
      <c r="N401" s="203"/>
      <c r="O401" s="190"/>
      <c r="P401" s="192"/>
      <c r="Q401" s="192"/>
      <c r="R401" s="203"/>
      <c r="S401" s="217"/>
      <c r="T401" s="217"/>
      <c r="U401" s="217"/>
      <c r="V401" s="217"/>
      <c r="W401" s="217"/>
      <c r="X401" s="194"/>
      <c r="Y401" s="193"/>
    </row>
    <row r="402" spans="1:25" x14ac:dyDescent="0.2">
      <c r="I402" s="192"/>
      <c r="J402" s="191"/>
      <c r="M402" s="192"/>
      <c r="N402" s="203"/>
      <c r="O402" s="190"/>
      <c r="P402" s="192"/>
      <c r="Q402" s="192"/>
      <c r="R402" s="203"/>
      <c r="S402" s="217"/>
      <c r="T402" s="217"/>
      <c r="U402" s="217"/>
      <c r="V402" s="217"/>
      <c r="W402" s="217"/>
      <c r="X402" s="194"/>
      <c r="Y402" s="193"/>
    </row>
    <row r="403" spans="1:25" x14ac:dyDescent="0.2">
      <c r="I403" s="192"/>
      <c r="J403" s="191"/>
      <c r="M403" s="192"/>
      <c r="N403" s="203"/>
      <c r="O403" s="190"/>
      <c r="P403" s="192"/>
      <c r="Q403" s="192"/>
      <c r="R403" s="203"/>
      <c r="S403" s="217"/>
      <c r="T403" s="217"/>
      <c r="U403" s="217"/>
      <c r="V403" s="217"/>
      <c r="W403" s="217"/>
      <c r="X403" s="194"/>
      <c r="Y403" s="193"/>
    </row>
    <row r="404" spans="1:25" x14ac:dyDescent="0.2">
      <c r="I404" s="192"/>
      <c r="J404" s="191"/>
      <c r="M404" s="192"/>
      <c r="N404" s="203"/>
      <c r="O404" s="190"/>
      <c r="P404" s="192"/>
      <c r="Q404" s="192"/>
      <c r="R404" s="203"/>
      <c r="S404" s="217"/>
      <c r="T404" s="217"/>
      <c r="U404" s="217"/>
      <c r="V404" s="217"/>
      <c r="W404" s="217"/>
      <c r="X404" s="194"/>
      <c r="Y404" s="193"/>
    </row>
    <row r="405" spans="1:25" x14ac:dyDescent="0.2">
      <c r="I405" s="192"/>
      <c r="J405" s="191"/>
      <c r="M405" s="192"/>
      <c r="N405" s="203"/>
      <c r="O405" s="190"/>
      <c r="P405" s="192"/>
      <c r="Q405" s="192"/>
      <c r="R405" s="203"/>
      <c r="S405" s="217"/>
      <c r="T405" s="217"/>
      <c r="U405" s="217"/>
      <c r="V405" s="217"/>
      <c r="W405" s="217"/>
      <c r="X405" s="194"/>
      <c r="Y405" s="193"/>
    </row>
    <row r="406" spans="1:25" x14ac:dyDescent="0.2">
      <c r="I406" s="192"/>
      <c r="J406" s="191"/>
      <c r="M406" s="192"/>
      <c r="N406" s="203"/>
      <c r="O406" s="190"/>
      <c r="P406" s="192"/>
      <c r="Q406" s="192"/>
      <c r="R406" s="203"/>
      <c r="S406" s="217"/>
      <c r="T406" s="217"/>
      <c r="U406" s="217"/>
      <c r="V406" s="217"/>
      <c r="W406" s="217"/>
      <c r="X406" s="194"/>
      <c r="Y406" s="193"/>
    </row>
    <row r="407" spans="1:25" x14ac:dyDescent="0.2">
      <c r="I407" s="192"/>
      <c r="J407" s="195"/>
      <c r="M407" s="192"/>
      <c r="N407" s="203"/>
      <c r="O407" s="197"/>
      <c r="P407" s="192"/>
      <c r="Q407" s="192"/>
      <c r="R407" s="203"/>
      <c r="S407" s="218"/>
      <c r="T407" s="218"/>
      <c r="U407" s="218"/>
      <c r="V407" s="218"/>
      <c r="W407" s="218"/>
      <c r="Y407" s="199"/>
    </row>
    <row r="408" spans="1:25" x14ac:dyDescent="0.2">
      <c r="I408" s="192"/>
      <c r="J408" s="195"/>
      <c r="M408" s="192"/>
      <c r="N408" s="203"/>
      <c r="O408" s="197"/>
      <c r="P408" s="192"/>
      <c r="Q408" s="192"/>
      <c r="R408" s="219"/>
      <c r="S408" s="210"/>
      <c r="T408" s="210"/>
      <c r="U408" s="210"/>
      <c r="V408" s="210"/>
      <c r="W408" s="210"/>
      <c r="Y408" s="199"/>
    </row>
    <row r="409" spans="1:25" x14ac:dyDescent="0.2">
      <c r="I409" s="192"/>
      <c r="J409" s="195"/>
      <c r="M409" s="192"/>
      <c r="N409" s="203"/>
      <c r="O409" s="197"/>
      <c r="P409" s="192"/>
      <c r="Q409" s="220"/>
      <c r="R409" s="203"/>
      <c r="S409" s="217"/>
      <c r="T409" s="217"/>
      <c r="U409" s="217"/>
      <c r="V409" s="217"/>
      <c r="W409" s="217"/>
      <c r="Y409" s="199"/>
    </row>
    <row r="410" spans="1:25" x14ac:dyDescent="0.2">
      <c r="I410" s="192"/>
      <c r="J410" s="195"/>
      <c r="M410" s="192"/>
      <c r="N410" s="203"/>
      <c r="O410" s="197"/>
      <c r="P410" s="192"/>
      <c r="Q410" s="192"/>
      <c r="R410" s="203"/>
      <c r="S410" s="217"/>
      <c r="T410" s="217"/>
      <c r="U410" s="217"/>
      <c r="V410" s="217"/>
      <c r="W410" s="217"/>
      <c r="Y410" s="199"/>
    </row>
    <row r="411" spans="1:25" x14ac:dyDescent="0.2">
      <c r="I411" s="192"/>
      <c r="J411" s="195"/>
      <c r="M411" s="192"/>
      <c r="N411" s="203"/>
      <c r="O411" s="197"/>
      <c r="P411" s="192"/>
      <c r="Q411" s="192"/>
      <c r="R411" s="203"/>
      <c r="S411" s="217"/>
      <c r="T411" s="217"/>
      <c r="U411" s="217"/>
      <c r="V411" s="217"/>
      <c r="W411" s="217"/>
      <c r="Y411" s="199"/>
    </row>
    <row r="412" spans="1:25" x14ac:dyDescent="0.2">
      <c r="I412" s="192"/>
      <c r="J412" s="195"/>
      <c r="M412" s="192"/>
      <c r="N412" s="203"/>
      <c r="O412" s="197"/>
      <c r="P412" s="192"/>
      <c r="Q412" s="192"/>
      <c r="R412" s="203"/>
      <c r="S412" s="217"/>
      <c r="T412" s="217"/>
      <c r="U412" s="217"/>
      <c r="V412" s="217"/>
      <c r="W412" s="217"/>
      <c r="Y412" s="199"/>
    </row>
    <row r="413" spans="1:25" s="208" customFormat="1" x14ac:dyDescent="0.2">
      <c r="A413" s="200"/>
      <c r="B413" s="201"/>
      <c r="C413" s="202"/>
      <c r="D413" s="202"/>
      <c r="E413" s="201"/>
      <c r="F413" s="201"/>
      <c r="G413" s="202"/>
      <c r="H413" s="203"/>
      <c r="I413" s="192"/>
      <c r="J413" s="204"/>
      <c r="K413" s="205"/>
      <c r="L413" s="205"/>
      <c r="M413" s="192"/>
      <c r="N413" s="203"/>
      <c r="O413" s="206"/>
      <c r="P413" s="192"/>
      <c r="Q413" s="192"/>
      <c r="R413" s="203"/>
      <c r="S413" s="217"/>
      <c r="T413" s="217"/>
      <c r="U413" s="217"/>
      <c r="V413" s="217"/>
      <c r="W413" s="217"/>
      <c r="X413" s="194"/>
      <c r="Y413" s="205"/>
    </row>
    <row r="414" spans="1:25" x14ac:dyDescent="0.2">
      <c r="Q414" s="192"/>
      <c r="R414" s="203"/>
      <c r="S414" s="217"/>
      <c r="T414" s="217"/>
      <c r="U414" s="217"/>
      <c r="V414" s="217"/>
      <c r="W414" s="217"/>
    </row>
    <row r="415" spans="1:25" x14ac:dyDescent="0.2">
      <c r="Q415" s="192"/>
      <c r="R415" s="203"/>
      <c r="S415" s="217"/>
      <c r="T415" s="217"/>
      <c r="U415" s="217"/>
      <c r="V415" s="217"/>
      <c r="W415" s="217"/>
    </row>
    <row r="416" spans="1:25" x14ac:dyDescent="0.2">
      <c r="Q416" s="192"/>
      <c r="R416" s="203"/>
      <c r="S416" s="217"/>
      <c r="T416" s="217"/>
      <c r="U416" s="217"/>
      <c r="V416" s="217"/>
      <c r="W416" s="217"/>
    </row>
    <row r="417" spans="1:25" x14ac:dyDescent="0.2">
      <c r="Q417" s="192"/>
      <c r="R417" s="203"/>
      <c r="S417" s="217"/>
      <c r="T417" s="217"/>
      <c r="U417" s="217"/>
      <c r="V417" s="217"/>
      <c r="W417" s="217"/>
    </row>
    <row r="418" spans="1:25" x14ac:dyDescent="0.2">
      <c r="Q418" s="192"/>
      <c r="R418" s="203"/>
      <c r="S418" s="217"/>
      <c r="T418" s="217"/>
      <c r="U418" s="217"/>
      <c r="V418" s="217"/>
      <c r="W418" s="217"/>
    </row>
    <row r="419" spans="1:25" x14ac:dyDescent="0.2">
      <c r="Q419" s="192"/>
      <c r="R419" s="203"/>
      <c r="S419" s="217"/>
      <c r="T419" s="217"/>
      <c r="U419" s="217"/>
      <c r="V419" s="217"/>
      <c r="W419" s="217"/>
    </row>
    <row r="420" spans="1:25" x14ac:dyDescent="0.2">
      <c r="Q420" s="192"/>
      <c r="R420" s="203"/>
      <c r="S420" s="217"/>
      <c r="T420" s="217"/>
      <c r="U420" s="217"/>
      <c r="V420" s="217"/>
      <c r="W420" s="217"/>
    </row>
    <row r="421" spans="1:25" x14ac:dyDescent="0.2">
      <c r="Q421" s="192"/>
      <c r="R421" s="203"/>
      <c r="S421" s="217"/>
      <c r="T421" s="217"/>
      <c r="U421" s="217"/>
      <c r="V421" s="217"/>
      <c r="W421" s="217"/>
    </row>
    <row r="422" spans="1:25" x14ac:dyDescent="0.2">
      <c r="Q422" s="192"/>
      <c r="R422" s="203"/>
      <c r="S422" s="217"/>
      <c r="T422" s="217"/>
      <c r="U422" s="217"/>
      <c r="V422" s="217"/>
      <c r="W422" s="217"/>
    </row>
    <row r="423" spans="1:25" x14ac:dyDescent="0.2">
      <c r="Q423" s="192"/>
      <c r="R423" s="203"/>
      <c r="S423" s="218"/>
      <c r="T423" s="218"/>
      <c r="U423" s="218"/>
      <c r="V423" s="218"/>
      <c r="W423" s="218"/>
    </row>
    <row r="424" spans="1:25" s="188" customFormat="1" x14ac:dyDescent="0.2">
      <c r="A424" s="181"/>
      <c r="B424" s="182"/>
      <c r="C424" s="169"/>
      <c r="D424" s="169"/>
      <c r="E424" s="182"/>
      <c r="F424" s="182"/>
      <c r="G424" s="169"/>
      <c r="H424" s="183"/>
      <c r="I424" s="184"/>
      <c r="J424" s="185"/>
      <c r="K424" s="166"/>
      <c r="L424" s="166"/>
      <c r="M424" s="166"/>
      <c r="N424" s="166"/>
      <c r="O424" s="166"/>
      <c r="P424" s="166"/>
      <c r="Q424" s="192"/>
      <c r="R424" s="219"/>
      <c r="S424" s="210"/>
      <c r="T424" s="210"/>
      <c r="U424" s="210"/>
      <c r="V424" s="210"/>
      <c r="W424" s="210"/>
      <c r="Y424" s="189"/>
    </row>
    <row r="429" spans="1:25" ht="37.5" customHeight="1" x14ac:dyDescent="0.25">
      <c r="A429" s="180"/>
      <c r="B429" s="180"/>
      <c r="C429" s="180"/>
      <c r="D429" s="180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</row>
    <row r="431" spans="1:25" s="188" customFormat="1" ht="15.75" x14ac:dyDescent="0.25">
      <c r="A431" s="180"/>
      <c r="B431" s="180"/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9"/>
    </row>
    <row r="432" spans="1:25" s="188" customFormat="1" x14ac:dyDescent="0.2">
      <c r="A432" s="181"/>
      <c r="B432" s="182"/>
      <c r="C432" s="169"/>
      <c r="D432" s="169"/>
      <c r="E432" s="182"/>
      <c r="F432" s="182"/>
      <c r="G432" s="169"/>
      <c r="H432" s="183"/>
      <c r="I432" s="184"/>
      <c r="J432" s="185"/>
      <c r="K432" s="166"/>
      <c r="L432" s="166"/>
      <c r="M432" s="166"/>
      <c r="N432" s="166"/>
      <c r="O432" s="166"/>
      <c r="P432" s="162"/>
      <c r="Q432" s="162"/>
      <c r="R432" s="162"/>
      <c r="S432" s="162"/>
      <c r="T432" s="162"/>
      <c r="U432" s="162"/>
      <c r="V432" s="162"/>
      <c r="W432" s="166"/>
      <c r="Y432" s="189"/>
    </row>
  </sheetData>
  <mergeCells count="239">
    <mergeCell ref="Q410:Q424"/>
    <mergeCell ref="A429:X429"/>
    <mergeCell ref="A431:X431"/>
    <mergeCell ref="P432:V432"/>
    <mergeCell ref="R386:R387"/>
    <mergeCell ref="S386:W386"/>
    <mergeCell ref="Q389:Q395"/>
    <mergeCell ref="I394:I399"/>
    <mergeCell ref="M394:M399"/>
    <mergeCell ref="P394:P399"/>
    <mergeCell ref="Q397:Q408"/>
    <mergeCell ref="I401:I413"/>
    <mergeCell ref="M401:M413"/>
    <mergeCell ref="P401:P413"/>
    <mergeCell ref="I371:I375"/>
    <mergeCell ref="M371:M375"/>
    <mergeCell ref="I377:I382"/>
    <mergeCell ref="M377:M382"/>
    <mergeCell ref="N386:N387"/>
    <mergeCell ref="O386:Q386"/>
    <mergeCell ref="A359:X359"/>
    <mergeCell ref="A360:X360"/>
    <mergeCell ref="N362:N364"/>
    <mergeCell ref="O362:Q362"/>
    <mergeCell ref="S362:W362"/>
    <mergeCell ref="M364:M369"/>
    <mergeCell ref="I365:I369"/>
    <mergeCell ref="A357:F357"/>
    <mergeCell ref="G357:N357"/>
    <mergeCell ref="O357:U357"/>
    <mergeCell ref="A358:F358"/>
    <mergeCell ref="G358:N358"/>
    <mergeCell ref="O358:U358"/>
    <mergeCell ref="A355:F355"/>
    <mergeCell ref="G355:N355"/>
    <mergeCell ref="O355:U355"/>
    <mergeCell ref="A356:F356"/>
    <mergeCell ref="G356:N356"/>
    <mergeCell ref="O356:U356"/>
    <mergeCell ref="A352:X352"/>
    <mergeCell ref="C353:E353"/>
    <mergeCell ref="F353:H353"/>
    <mergeCell ref="J353:L353"/>
    <mergeCell ref="N353:P353"/>
    <mergeCell ref="A354:X354"/>
    <mergeCell ref="E349:F349"/>
    <mergeCell ref="G349:H349"/>
    <mergeCell ref="I349:K349"/>
    <mergeCell ref="M349:O349"/>
    <mergeCell ref="A350:X350"/>
    <mergeCell ref="C351:E351"/>
    <mergeCell ref="F351:H351"/>
    <mergeCell ref="Q347:T347"/>
    <mergeCell ref="B348:C348"/>
    <mergeCell ref="E348:F348"/>
    <mergeCell ref="G348:H348"/>
    <mergeCell ref="I348:K348"/>
    <mergeCell ref="M348:O348"/>
    <mergeCell ref="Q348:T348"/>
    <mergeCell ref="A340:J340"/>
    <mergeCell ref="A342:J342"/>
    <mergeCell ref="A344:X344"/>
    <mergeCell ref="A345:X345"/>
    <mergeCell ref="A346:X346"/>
    <mergeCell ref="B347:C347"/>
    <mergeCell ref="E347:F347"/>
    <mergeCell ref="G347:H347"/>
    <mergeCell ref="I347:K347"/>
    <mergeCell ref="M347:O347"/>
    <mergeCell ref="B329:C329"/>
    <mergeCell ref="F329:J329"/>
    <mergeCell ref="B333:C333"/>
    <mergeCell ref="F333:J333"/>
    <mergeCell ref="B337:C337"/>
    <mergeCell ref="F337:J337"/>
    <mergeCell ref="B314:C314"/>
    <mergeCell ref="F314:J314"/>
    <mergeCell ref="B318:C318"/>
    <mergeCell ref="F318:J318"/>
    <mergeCell ref="B324:C324"/>
    <mergeCell ref="F324:J324"/>
    <mergeCell ref="B302:C302"/>
    <mergeCell ref="F302:J302"/>
    <mergeCell ref="B305:C305"/>
    <mergeCell ref="F305:J305"/>
    <mergeCell ref="B310:C310"/>
    <mergeCell ref="F310:J310"/>
    <mergeCell ref="B291:C291"/>
    <mergeCell ref="F291:J291"/>
    <mergeCell ref="B294:C294"/>
    <mergeCell ref="F294:J294"/>
    <mergeCell ref="B298:C298"/>
    <mergeCell ref="F298:J298"/>
    <mergeCell ref="B279:C279"/>
    <mergeCell ref="F279:J279"/>
    <mergeCell ref="B284:C284"/>
    <mergeCell ref="F284:J284"/>
    <mergeCell ref="B288:C288"/>
    <mergeCell ref="F288:J288"/>
    <mergeCell ref="B264:C264"/>
    <mergeCell ref="F264:J264"/>
    <mergeCell ref="B268:C268"/>
    <mergeCell ref="F268:J268"/>
    <mergeCell ref="B274:C274"/>
    <mergeCell ref="F274:J274"/>
    <mergeCell ref="B253:C253"/>
    <mergeCell ref="F253:J253"/>
    <mergeCell ref="B257:C257"/>
    <mergeCell ref="F257:J257"/>
    <mergeCell ref="B260:C260"/>
    <mergeCell ref="F260:J260"/>
    <mergeCell ref="B244:C244"/>
    <mergeCell ref="F244:J244"/>
    <mergeCell ref="B247:C247"/>
    <mergeCell ref="F247:J247"/>
    <mergeCell ref="B250:C250"/>
    <mergeCell ref="F250:J250"/>
    <mergeCell ref="B233:C233"/>
    <mergeCell ref="F233:J233"/>
    <mergeCell ref="B237:C237"/>
    <mergeCell ref="F237:J237"/>
    <mergeCell ref="B241:C241"/>
    <mergeCell ref="F241:J241"/>
    <mergeCell ref="B221:C221"/>
    <mergeCell ref="F221:J221"/>
    <mergeCell ref="B226:C226"/>
    <mergeCell ref="F226:J226"/>
    <mergeCell ref="B230:C230"/>
    <mergeCell ref="F230:J230"/>
    <mergeCell ref="B205:C205"/>
    <mergeCell ref="F205:J205"/>
    <mergeCell ref="B212:C212"/>
    <mergeCell ref="F212:J212"/>
    <mergeCell ref="B218:C218"/>
    <mergeCell ref="F218:J218"/>
    <mergeCell ref="B188:C188"/>
    <mergeCell ref="F188:J188"/>
    <mergeCell ref="B192:C192"/>
    <mergeCell ref="F192:J192"/>
    <mergeCell ref="B198:C198"/>
    <mergeCell ref="F198:J198"/>
    <mergeCell ref="B171:C171"/>
    <mergeCell ref="F171:J171"/>
    <mergeCell ref="B178:C178"/>
    <mergeCell ref="F178:J178"/>
    <mergeCell ref="B182:C182"/>
    <mergeCell ref="F182:J182"/>
    <mergeCell ref="B156:C156"/>
    <mergeCell ref="F156:J156"/>
    <mergeCell ref="B159:C159"/>
    <mergeCell ref="F159:J159"/>
    <mergeCell ref="B163:C163"/>
    <mergeCell ref="F163:J163"/>
    <mergeCell ref="B146:C146"/>
    <mergeCell ref="F146:J146"/>
    <mergeCell ref="B150:C150"/>
    <mergeCell ref="F150:J150"/>
    <mergeCell ref="B153:C153"/>
    <mergeCell ref="F153:J153"/>
    <mergeCell ref="B125:C125"/>
    <mergeCell ref="F125:J125"/>
    <mergeCell ref="B134:C134"/>
    <mergeCell ref="F134:J134"/>
    <mergeCell ref="B142:C142"/>
    <mergeCell ref="F142:J142"/>
    <mergeCell ref="B111:C111"/>
    <mergeCell ref="F111:J111"/>
    <mergeCell ref="B114:C114"/>
    <mergeCell ref="F114:J114"/>
    <mergeCell ref="A117:J117"/>
    <mergeCell ref="B119:C119"/>
    <mergeCell ref="F119:J119"/>
    <mergeCell ref="B102:C102"/>
    <mergeCell ref="F102:J102"/>
    <mergeCell ref="B105:C105"/>
    <mergeCell ref="F105:J105"/>
    <mergeCell ref="B108:C108"/>
    <mergeCell ref="F108:J108"/>
    <mergeCell ref="B92:C92"/>
    <mergeCell ref="F92:J92"/>
    <mergeCell ref="B95:C95"/>
    <mergeCell ref="F95:J95"/>
    <mergeCell ref="B99:C99"/>
    <mergeCell ref="F99:J99"/>
    <mergeCell ref="B82:C82"/>
    <mergeCell ref="F82:J82"/>
    <mergeCell ref="B85:C85"/>
    <mergeCell ref="F85:J85"/>
    <mergeCell ref="B88:C88"/>
    <mergeCell ref="F88:J88"/>
    <mergeCell ref="B72:C72"/>
    <mergeCell ref="F72:J72"/>
    <mergeCell ref="B76:C76"/>
    <mergeCell ref="F76:J76"/>
    <mergeCell ref="B79:C79"/>
    <mergeCell ref="F79:J79"/>
    <mergeCell ref="B55:C55"/>
    <mergeCell ref="F55:J55"/>
    <mergeCell ref="B62:C62"/>
    <mergeCell ref="F62:J62"/>
    <mergeCell ref="B68:C68"/>
    <mergeCell ref="F68:J68"/>
    <mergeCell ref="B38:C38"/>
    <mergeCell ref="F38:J38"/>
    <mergeCell ref="B44:C44"/>
    <mergeCell ref="F44:J44"/>
    <mergeCell ref="B49:C49"/>
    <mergeCell ref="F49:J49"/>
    <mergeCell ref="B25:C25"/>
    <mergeCell ref="F25:J25"/>
    <mergeCell ref="B29:C29"/>
    <mergeCell ref="F29:J29"/>
    <mergeCell ref="B33:C33"/>
    <mergeCell ref="F33:J33"/>
    <mergeCell ref="B13:C13"/>
    <mergeCell ref="F13:J13"/>
    <mergeCell ref="B17:C17"/>
    <mergeCell ref="F17:J17"/>
    <mergeCell ref="B21:C21"/>
    <mergeCell ref="F21:J21"/>
    <mergeCell ref="R9:R10"/>
    <mergeCell ref="S9:X9"/>
    <mergeCell ref="A10:B10"/>
    <mergeCell ref="C10:C11"/>
    <mergeCell ref="D10:D11"/>
    <mergeCell ref="E10:F10"/>
    <mergeCell ref="G10:G11"/>
    <mergeCell ref="H10:I10"/>
    <mergeCell ref="J10:J11"/>
    <mergeCell ref="A1:X1"/>
    <mergeCell ref="A2:X2"/>
    <mergeCell ref="A3:X3"/>
    <mergeCell ref="A7:X7"/>
    <mergeCell ref="A9:J9"/>
    <mergeCell ref="K9:K10"/>
    <mergeCell ref="L9:M9"/>
    <mergeCell ref="N9:N10"/>
    <mergeCell ref="O9:O10"/>
    <mergeCell ref="P9:Q9"/>
  </mergeCells>
  <printOptions horizontalCentered="1"/>
  <pageMargins left="0.19685039370078741" right="0.19685039370078741" top="0.31496062992125984" bottom="0.31496062992125984" header="0.15748031496062992" footer="0.15748031496062992"/>
  <pageSetup paperSize="9" scale="48" orientation="landscape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Outuro 2020</vt:lpstr>
      <vt:lpstr>'Outuro 2020'!Area_de_impressao</vt:lpstr>
      <vt:lpstr>'Outuro 2020'!Titulos_de_impressao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Maria Ribeiro Maués</dc:creator>
  <cp:lastModifiedBy>Lorena Maria Ribeiro Maués</cp:lastModifiedBy>
  <cp:lastPrinted>2020-11-19T14:36:57Z</cp:lastPrinted>
  <dcterms:created xsi:type="dcterms:W3CDTF">2020-11-19T14:35:45Z</dcterms:created>
  <dcterms:modified xsi:type="dcterms:W3CDTF">2020-11-19T14:38:12Z</dcterms:modified>
</cp:coreProperties>
</file>