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jane.mesquita\TJEPA\SAEO - General\8-CNJ\6.2-RESOLUÇÃO 102\RES. 102 - ANEXO II\2020\"/>
    </mc:Choice>
  </mc:AlternateContent>
  <bookViews>
    <workbookView xWindow="0" yWindow="0" windowWidth="28800" windowHeight="11445"/>
  </bookViews>
  <sheets>
    <sheet name="Maio 2020" sheetId="1" r:id="rId1"/>
  </sheets>
  <definedNames>
    <definedName name="_xlnm.Print_Area" localSheetId="0">'Maio 2020'!$A$1:$X$339</definedName>
    <definedName name="_xlnm.Print_Titles" localSheetId="0">'Maio 2020'!$1:$11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18" i="1" l="1"/>
  <c r="W317" i="1"/>
  <c r="U317" i="1"/>
  <c r="S317" i="1"/>
  <c r="Q317" i="1"/>
  <c r="P317" i="1"/>
  <c r="O317" i="1"/>
  <c r="M317" i="1"/>
  <c r="L317" i="1"/>
  <c r="K317" i="1"/>
  <c r="V315" i="1"/>
  <c r="R315" i="1"/>
  <c r="X315" i="1" s="1"/>
  <c r="N315" i="1"/>
  <c r="W314" i="1"/>
  <c r="U314" i="1"/>
  <c r="S314" i="1"/>
  <c r="R314" i="1"/>
  <c r="V314" i="1" s="1"/>
  <c r="Q314" i="1"/>
  <c r="P314" i="1"/>
  <c r="O314" i="1"/>
  <c r="N314" i="1"/>
  <c r="M314" i="1"/>
  <c r="L314" i="1"/>
  <c r="K314" i="1"/>
  <c r="N312" i="1"/>
  <c r="W311" i="1"/>
  <c r="U311" i="1"/>
  <c r="S311" i="1"/>
  <c r="Q311" i="1"/>
  <c r="P311" i="1"/>
  <c r="O311" i="1"/>
  <c r="M311" i="1"/>
  <c r="L311" i="1"/>
  <c r="K311" i="1"/>
  <c r="W309" i="1"/>
  <c r="U309" i="1"/>
  <c r="T309" i="1"/>
  <c r="S309" i="1"/>
  <c r="S307" i="1" s="1"/>
  <c r="N309" i="1"/>
  <c r="R309" i="1" s="1"/>
  <c r="X308" i="1"/>
  <c r="V308" i="1"/>
  <c r="N308" i="1"/>
  <c r="R308" i="1" s="1"/>
  <c r="T308" i="1" s="1"/>
  <c r="R307" i="1"/>
  <c r="Q307" i="1"/>
  <c r="P307" i="1"/>
  <c r="O307" i="1"/>
  <c r="N307" i="1"/>
  <c r="M307" i="1"/>
  <c r="L307" i="1"/>
  <c r="K307" i="1"/>
  <c r="L305" i="1"/>
  <c r="W304" i="1"/>
  <c r="U304" i="1"/>
  <c r="S304" i="1"/>
  <c r="N304" i="1"/>
  <c r="R304" i="1" s="1"/>
  <c r="T304" i="1" s="1"/>
  <c r="N303" i="1"/>
  <c r="W302" i="1"/>
  <c r="S302" i="1"/>
  <c r="Q302" i="1"/>
  <c r="P302" i="1"/>
  <c r="O302" i="1"/>
  <c r="M302" i="1"/>
  <c r="K302" i="1"/>
  <c r="W300" i="1"/>
  <c r="W299" i="1" s="1"/>
  <c r="U300" i="1"/>
  <c r="U299" i="1" s="1"/>
  <c r="S300" i="1"/>
  <c r="N300" i="1"/>
  <c r="Q299" i="1"/>
  <c r="P299" i="1"/>
  <c r="O299" i="1"/>
  <c r="M299" i="1"/>
  <c r="L299" i="1"/>
  <c r="K299" i="1"/>
  <c r="W297" i="1"/>
  <c r="U297" i="1"/>
  <c r="S297" i="1"/>
  <c r="N297" i="1"/>
  <c r="U296" i="1"/>
  <c r="Q296" i="1"/>
  <c r="P296" i="1"/>
  <c r="O296" i="1"/>
  <c r="M296" i="1"/>
  <c r="L296" i="1"/>
  <c r="K296" i="1"/>
  <c r="W294" i="1"/>
  <c r="U294" i="1"/>
  <c r="S294" i="1"/>
  <c r="N294" i="1"/>
  <c r="R294" i="1" s="1"/>
  <c r="W293" i="1"/>
  <c r="U293" i="1"/>
  <c r="S293" i="1"/>
  <c r="N293" i="1"/>
  <c r="Q292" i="1"/>
  <c r="P292" i="1"/>
  <c r="O292" i="1"/>
  <c r="M292" i="1"/>
  <c r="L292" i="1"/>
  <c r="K292" i="1"/>
  <c r="W290" i="1"/>
  <c r="W289" i="1" s="1"/>
  <c r="U290" i="1"/>
  <c r="S290" i="1"/>
  <c r="R290" i="1"/>
  <c r="R289" i="1" s="1"/>
  <c r="N290" i="1"/>
  <c r="Q289" i="1"/>
  <c r="P289" i="1"/>
  <c r="O289" i="1"/>
  <c r="N289" i="1"/>
  <c r="M289" i="1"/>
  <c r="L289" i="1"/>
  <c r="K289" i="1"/>
  <c r="W287" i="1"/>
  <c r="U287" i="1"/>
  <c r="S287" i="1"/>
  <c r="L287" i="1"/>
  <c r="W286" i="1"/>
  <c r="U286" i="1"/>
  <c r="S286" i="1"/>
  <c r="N286" i="1"/>
  <c r="R286" i="1" s="1"/>
  <c r="V286" i="1" s="1"/>
  <c r="W285" i="1"/>
  <c r="Q285" i="1"/>
  <c r="P285" i="1"/>
  <c r="O285" i="1"/>
  <c r="M285" i="1"/>
  <c r="K285" i="1"/>
  <c r="W283" i="1"/>
  <c r="U283" i="1"/>
  <c r="S283" i="1"/>
  <c r="N283" i="1"/>
  <c r="R282" i="1"/>
  <c r="N282" i="1"/>
  <c r="Q281" i="1"/>
  <c r="P281" i="1"/>
  <c r="O281" i="1"/>
  <c r="M281" i="1"/>
  <c r="L281" i="1"/>
  <c r="K281" i="1"/>
  <c r="W279" i="1"/>
  <c r="U279" i="1"/>
  <c r="S279" i="1"/>
  <c r="N279" i="1"/>
  <c r="W278" i="1"/>
  <c r="U278" i="1"/>
  <c r="Q278" i="1"/>
  <c r="P278" i="1"/>
  <c r="O278" i="1"/>
  <c r="M278" i="1"/>
  <c r="L278" i="1"/>
  <c r="K278" i="1"/>
  <c r="N276" i="1"/>
  <c r="R276" i="1" s="1"/>
  <c r="W275" i="1"/>
  <c r="U275" i="1"/>
  <c r="S275" i="1"/>
  <c r="Q275" i="1"/>
  <c r="P275" i="1"/>
  <c r="O275" i="1"/>
  <c r="N275" i="1"/>
  <c r="M275" i="1"/>
  <c r="L275" i="1"/>
  <c r="K275" i="1"/>
  <c r="L273" i="1"/>
  <c r="W272" i="1"/>
  <c r="U272" i="1"/>
  <c r="U271" i="1" s="1"/>
  <c r="S272" i="1"/>
  <c r="N272" i="1"/>
  <c r="S271" i="1"/>
  <c r="Q271" i="1"/>
  <c r="P271" i="1"/>
  <c r="O271" i="1"/>
  <c r="M271" i="1"/>
  <c r="K271" i="1"/>
  <c r="W269" i="1"/>
  <c r="U269" i="1"/>
  <c r="S269" i="1"/>
  <c r="L269" i="1"/>
  <c r="N269" i="1" s="1"/>
  <c r="R269" i="1" s="1"/>
  <c r="X269" i="1" s="1"/>
  <c r="W268" i="1"/>
  <c r="W266" i="1" s="1"/>
  <c r="U268" i="1"/>
  <c r="S268" i="1"/>
  <c r="L268" i="1"/>
  <c r="R267" i="1"/>
  <c r="N267" i="1"/>
  <c r="Q266" i="1"/>
  <c r="P266" i="1"/>
  <c r="O266" i="1"/>
  <c r="M266" i="1"/>
  <c r="K266" i="1"/>
  <c r="W264" i="1"/>
  <c r="U264" i="1"/>
  <c r="S264" i="1"/>
  <c r="N264" i="1"/>
  <c r="R264" i="1" s="1"/>
  <c r="L264" i="1"/>
  <c r="W263" i="1"/>
  <c r="U263" i="1"/>
  <c r="U261" i="1" s="1"/>
  <c r="S263" i="1"/>
  <c r="N263" i="1"/>
  <c r="R263" i="1" s="1"/>
  <c r="L263" i="1"/>
  <c r="N262" i="1"/>
  <c r="Q261" i="1"/>
  <c r="P261" i="1"/>
  <c r="O261" i="1"/>
  <c r="M261" i="1"/>
  <c r="L261" i="1"/>
  <c r="K261" i="1"/>
  <c r="W259" i="1"/>
  <c r="U259" i="1"/>
  <c r="V259" i="1" s="1"/>
  <c r="S259" i="1"/>
  <c r="R259" i="1"/>
  <c r="L259" i="1"/>
  <c r="N259" i="1" s="1"/>
  <c r="L258" i="1"/>
  <c r="L255" i="1" s="1"/>
  <c r="W257" i="1"/>
  <c r="U257" i="1"/>
  <c r="S257" i="1"/>
  <c r="R257" i="1"/>
  <c r="M257" i="1"/>
  <c r="N257" i="1" s="1"/>
  <c r="S256" i="1"/>
  <c r="N256" i="1"/>
  <c r="Q255" i="1"/>
  <c r="P255" i="1"/>
  <c r="O255" i="1"/>
  <c r="M255" i="1"/>
  <c r="K255" i="1"/>
  <c r="W253" i="1"/>
  <c r="U253" i="1"/>
  <c r="S253" i="1"/>
  <c r="R253" i="1"/>
  <c r="V253" i="1" s="1"/>
  <c r="N253" i="1"/>
  <c r="W252" i="1"/>
  <c r="U252" i="1"/>
  <c r="V252" i="1" s="1"/>
  <c r="S252" i="1"/>
  <c r="R252" i="1"/>
  <c r="N252" i="1"/>
  <c r="U251" i="1"/>
  <c r="Q251" i="1"/>
  <c r="P251" i="1"/>
  <c r="O251" i="1"/>
  <c r="N251" i="1"/>
  <c r="M251" i="1"/>
  <c r="L251" i="1"/>
  <c r="K251" i="1"/>
  <c r="W249" i="1"/>
  <c r="W247" i="1" s="1"/>
  <c r="U249" i="1"/>
  <c r="S249" i="1"/>
  <c r="N249" i="1"/>
  <c r="R249" i="1" s="1"/>
  <c r="N248" i="1"/>
  <c r="Q247" i="1"/>
  <c r="P247" i="1"/>
  <c r="O247" i="1"/>
  <c r="M247" i="1"/>
  <c r="L247" i="1"/>
  <c r="K247" i="1"/>
  <c r="W245" i="1"/>
  <c r="U245" i="1"/>
  <c r="S245" i="1"/>
  <c r="N245" i="1"/>
  <c r="U244" i="1"/>
  <c r="Q244" i="1"/>
  <c r="P244" i="1"/>
  <c r="O244" i="1"/>
  <c r="M244" i="1"/>
  <c r="L244" i="1"/>
  <c r="K244" i="1"/>
  <c r="W242" i="1"/>
  <c r="U242" i="1"/>
  <c r="S242" i="1"/>
  <c r="R242" i="1"/>
  <c r="N242" i="1"/>
  <c r="L242" i="1"/>
  <c r="W241" i="1"/>
  <c r="U241" i="1"/>
  <c r="S241" i="1"/>
  <c r="Q241" i="1"/>
  <c r="L241" i="1"/>
  <c r="U240" i="1"/>
  <c r="Q240" i="1"/>
  <c r="P240" i="1"/>
  <c r="O240" i="1"/>
  <c r="M240" i="1"/>
  <c r="K240" i="1"/>
  <c r="W238" i="1"/>
  <c r="U238" i="1"/>
  <c r="U237" i="1" s="1"/>
  <c r="S238" i="1"/>
  <c r="N238" i="1"/>
  <c r="R238" i="1" s="1"/>
  <c r="S237" i="1"/>
  <c r="Q237" i="1"/>
  <c r="P237" i="1"/>
  <c r="O237" i="1"/>
  <c r="N237" i="1"/>
  <c r="M237" i="1"/>
  <c r="L237" i="1"/>
  <c r="K237" i="1"/>
  <c r="W235" i="1"/>
  <c r="U235" i="1"/>
  <c r="S235" i="1"/>
  <c r="S234" i="1" s="1"/>
  <c r="N235" i="1"/>
  <c r="W234" i="1"/>
  <c r="Q234" i="1"/>
  <c r="P234" i="1"/>
  <c r="O234" i="1"/>
  <c r="M234" i="1"/>
  <c r="L234" i="1"/>
  <c r="K234" i="1"/>
  <c r="W232" i="1"/>
  <c r="U232" i="1"/>
  <c r="U231" i="1" s="1"/>
  <c r="S232" i="1"/>
  <c r="S231" i="1" s="1"/>
  <c r="N232" i="1"/>
  <c r="R232" i="1" s="1"/>
  <c r="W231" i="1"/>
  <c r="R231" i="1"/>
  <c r="Q231" i="1"/>
  <c r="P231" i="1"/>
  <c r="O231" i="1"/>
  <c r="N231" i="1"/>
  <c r="M231" i="1"/>
  <c r="L231" i="1"/>
  <c r="K231" i="1"/>
  <c r="W229" i="1"/>
  <c r="U229" i="1"/>
  <c r="S229" i="1"/>
  <c r="N229" i="1"/>
  <c r="W228" i="1"/>
  <c r="U228" i="1"/>
  <c r="Q228" i="1"/>
  <c r="P228" i="1"/>
  <c r="O228" i="1"/>
  <c r="M228" i="1"/>
  <c r="L228" i="1"/>
  <c r="K228" i="1"/>
  <c r="W226" i="1"/>
  <c r="W224" i="1" s="1"/>
  <c r="U226" i="1"/>
  <c r="S226" i="1"/>
  <c r="L226" i="1"/>
  <c r="W225" i="1"/>
  <c r="U225" i="1"/>
  <c r="S225" i="1"/>
  <c r="N225" i="1"/>
  <c r="Q224" i="1"/>
  <c r="P224" i="1"/>
  <c r="O224" i="1"/>
  <c r="M224" i="1"/>
  <c r="K224" i="1"/>
  <c r="W222" i="1"/>
  <c r="U222" i="1"/>
  <c r="U220" i="1" s="1"/>
  <c r="S222" i="1"/>
  <c r="M222" i="1"/>
  <c r="M220" i="1" s="1"/>
  <c r="L222" i="1"/>
  <c r="W221" i="1"/>
  <c r="U221" i="1"/>
  <c r="S221" i="1"/>
  <c r="R221" i="1"/>
  <c r="L221" i="1"/>
  <c r="N221" i="1" s="1"/>
  <c r="Q220" i="1"/>
  <c r="P220" i="1"/>
  <c r="O220" i="1"/>
  <c r="K220" i="1"/>
  <c r="W218" i="1"/>
  <c r="W217" i="1" s="1"/>
  <c r="X217" i="1" s="1"/>
  <c r="U218" i="1"/>
  <c r="S218" i="1"/>
  <c r="N218" i="1"/>
  <c r="R218" i="1" s="1"/>
  <c r="R217" i="1" s="1"/>
  <c r="S217" i="1"/>
  <c r="Q217" i="1"/>
  <c r="P217" i="1"/>
  <c r="O217" i="1"/>
  <c r="M217" i="1"/>
  <c r="L217" i="1"/>
  <c r="K217" i="1"/>
  <c r="W215" i="1"/>
  <c r="U215" i="1"/>
  <c r="T215" i="1"/>
  <c r="S215" i="1"/>
  <c r="L215" i="1"/>
  <c r="N215" i="1" s="1"/>
  <c r="R215" i="1" s="1"/>
  <c r="W214" i="1"/>
  <c r="U214" i="1"/>
  <c r="S214" i="1"/>
  <c r="N214" i="1"/>
  <c r="U213" i="1"/>
  <c r="Q213" i="1"/>
  <c r="P213" i="1"/>
  <c r="O213" i="1"/>
  <c r="M213" i="1"/>
  <c r="L213" i="1"/>
  <c r="K213" i="1"/>
  <c r="W211" i="1"/>
  <c r="U211" i="1"/>
  <c r="U209" i="1" s="1"/>
  <c r="S211" i="1"/>
  <c r="R211" i="1"/>
  <c r="N211" i="1"/>
  <c r="N210" i="1"/>
  <c r="Q209" i="1"/>
  <c r="P209" i="1"/>
  <c r="O209" i="1"/>
  <c r="M209" i="1"/>
  <c r="L209" i="1"/>
  <c r="K209" i="1"/>
  <c r="R207" i="1"/>
  <c r="N207" i="1"/>
  <c r="W206" i="1"/>
  <c r="U206" i="1"/>
  <c r="S206" i="1"/>
  <c r="Q206" i="1"/>
  <c r="P206" i="1"/>
  <c r="O206" i="1"/>
  <c r="N206" i="1"/>
  <c r="M206" i="1"/>
  <c r="L206" i="1"/>
  <c r="K206" i="1"/>
  <c r="W204" i="1"/>
  <c r="W201" i="1" s="1"/>
  <c r="U204" i="1"/>
  <c r="S204" i="1"/>
  <c r="L204" i="1"/>
  <c r="O203" i="1"/>
  <c r="O201" i="1" s="1"/>
  <c r="N203" i="1"/>
  <c r="W202" i="1"/>
  <c r="U202" i="1"/>
  <c r="S202" i="1"/>
  <c r="S201" i="1" s="1"/>
  <c r="O202" i="1"/>
  <c r="N202" i="1"/>
  <c r="R202" i="1" s="1"/>
  <c r="Q201" i="1"/>
  <c r="P201" i="1"/>
  <c r="M201" i="1"/>
  <c r="K201" i="1"/>
  <c r="W199" i="1"/>
  <c r="U199" i="1"/>
  <c r="S199" i="1"/>
  <c r="L199" i="1"/>
  <c r="L198" i="1"/>
  <c r="N198" i="1" s="1"/>
  <c r="R198" i="1" s="1"/>
  <c r="T198" i="1" s="1"/>
  <c r="O197" i="1"/>
  <c r="N197" i="1"/>
  <c r="U196" i="1"/>
  <c r="Q196" i="1"/>
  <c r="P196" i="1"/>
  <c r="M196" i="1"/>
  <c r="K196" i="1"/>
  <c r="W194" i="1"/>
  <c r="U194" i="1"/>
  <c r="U191" i="1" s="1"/>
  <c r="S194" i="1"/>
  <c r="L194" i="1"/>
  <c r="N194" i="1" s="1"/>
  <c r="O193" i="1"/>
  <c r="R193" i="1" s="1"/>
  <c r="N193" i="1"/>
  <c r="W192" i="1"/>
  <c r="W191" i="1" s="1"/>
  <c r="U192" i="1"/>
  <c r="S192" i="1"/>
  <c r="O192" i="1"/>
  <c r="N192" i="1"/>
  <c r="Q191" i="1"/>
  <c r="P191" i="1"/>
  <c r="M191" i="1"/>
  <c r="K191" i="1"/>
  <c r="N189" i="1"/>
  <c r="R189" i="1" s="1"/>
  <c r="L189" i="1"/>
  <c r="L188" i="1"/>
  <c r="N188" i="1" s="1"/>
  <c r="R188" i="1" s="1"/>
  <c r="W187" i="1"/>
  <c r="W185" i="1" s="1"/>
  <c r="U187" i="1"/>
  <c r="U185" i="1" s="1"/>
  <c r="S187" i="1"/>
  <c r="S185" i="1" s="1"/>
  <c r="Q187" i="1"/>
  <c r="Q185" i="1" s="1"/>
  <c r="N187" i="1"/>
  <c r="X186" i="1"/>
  <c r="N186" i="1"/>
  <c r="R186" i="1" s="1"/>
  <c r="P185" i="1"/>
  <c r="O185" i="1"/>
  <c r="M185" i="1"/>
  <c r="K185" i="1"/>
  <c r="W183" i="1"/>
  <c r="X183" i="1" s="1"/>
  <c r="U183" i="1"/>
  <c r="S183" i="1"/>
  <c r="N183" i="1"/>
  <c r="R183" i="1" s="1"/>
  <c r="V183" i="1" s="1"/>
  <c r="W182" i="1"/>
  <c r="U182" i="1"/>
  <c r="S182" i="1"/>
  <c r="N182" i="1"/>
  <c r="U181" i="1"/>
  <c r="S181" i="1"/>
  <c r="Q181" i="1"/>
  <c r="P181" i="1"/>
  <c r="O181" i="1"/>
  <c r="M181" i="1"/>
  <c r="L181" i="1"/>
  <c r="K181" i="1"/>
  <c r="N179" i="1"/>
  <c r="R179" i="1" s="1"/>
  <c r="T179" i="1" s="1"/>
  <c r="L179" i="1"/>
  <c r="L178" i="1"/>
  <c r="W177" i="1"/>
  <c r="U177" i="1"/>
  <c r="S177" i="1"/>
  <c r="Q177" i="1"/>
  <c r="Q175" i="1" s="1"/>
  <c r="N177" i="1"/>
  <c r="W176" i="1"/>
  <c r="U176" i="1"/>
  <c r="S176" i="1"/>
  <c r="N176" i="1"/>
  <c r="R176" i="1" s="1"/>
  <c r="W175" i="1"/>
  <c r="P175" i="1"/>
  <c r="O175" i="1"/>
  <c r="M175" i="1"/>
  <c r="K175" i="1"/>
  <c r="W173" i="1"/>
  <c r="U173" i="1"/>
  <c r="U171" i="1" s="1"/>
  <c r="S173" i="1"/>
  <c r="S171" i="1" s="1"/>
  <c r="R173" i="1"/>
  <c r="N173" i="1"/>
  <c r="R172" i="1"/>
  <c r="N172" i="1"/>
  <c r="Q171" i="1"/>
  <c r="P171" i="1"/>
  <c r="O171" i="1"/>
  <c r="N171" i="1"/>
  <c r="M171" i="1"/>
  <c r="L171" i="1"/>
  <c r="K171" i="1"/>
  <c r="L169" i="1"/>
  <c r="N169" i="1" s="1"/>
  <c r="R169" i="1" s="1"/>
  <c r="T169" i="1" s="1"/>
  <c r="W168" i="1"/>
  <c r="U168" i="1"/>
  <c r="S168" i="1"/>
  <c r="S165" i="1" s="1"/>
  <c r="R168" i="1"/>
  <c r="N168" i="1"/>
  <c r="N167" i="1"/>
  <c r="R167" i="1" s="1"/>
  <c r="N166" i="1"/>
  <c r="U165" i="1"/>
  <c r="Q165" i="1"/>
  <c r="P165" i="1"/>
  <c r="O165" i="1"/>
  <c r="M165" i="1"/>
  <c r="K165" i="1"/>
  <c r="M163" i="1"/>
  <c r="M158" i="1" s="1"/>
  <c r="L163" i="1"/>
  <c r="W162" i="1"/>
  <c r="W158" i="1" s="1"/>
  <c r="U162" i="1"/>
  <c r="S162" i="1"/>
  <c r="N162" i="1"/>
  <c r="R162" i="1" s="1"/>
  <c r="L162" i="1"/>
  <c r="W161" i="1"/>
  <c r="U161" i="1"/>
  <c r="U158" i="1" s="1"/>
  <c r="T161" i="1"/>
  <c r="S161" i="1"/>
  <c r="N161" i="1"/>
  <c r="R161" i="1" s="1"/>
  <c r="X160" i="1"/>
  <c r="N160" i="1"/>
  <c r="R160" i="1" s="1"/>
  <c r="T160" i="1" s="1"/>
  <c r="S159" i="1"/>
  <c r="N159" i="1"/>
  <c r="Q158" i="1"/>
  <c r="P158" i="1"/>
  <c r="O158" i="1"/>
  <c r="K158" i="1"/>
  <c r="N156" i="1"/>
  <c r="R156" i="1" s="1"/>
  <c r="N155" i="1"/>
  <c r="W154" i="1"/>
  <c r="U154" i="1"/>
  <c r="S154" i="1"/>
  <c r="Q154" i="1"/>
  <c r="P154" i="1"/>
  <c r="O154" i="1"/>
  <c r="M154" i="1"/>
  <c r="L154" i="1"/>
  <c r="K154" i="1"/>
  <c r="W152" i="1"/>
  <c r="U152" i="1"/>
  <c r="S152" i="1"/>
  <c r="N152" i="1"/>
  <c r="W151" i="1"/>
  <c r="U151" i="1"/>
  <c r="Q151" i="1"/>
  <c r="P151" i="1"/>
  <c r="O151" i="1"/>
  <c r="M151" i="1"/>
  <c r="L151" i="1"/>
  <c r="K151" i="1"/>
  <c r="W149" i="1"/>
  <c r="U149" i="1"/>
  <c r="S149" i="1"/>
  <c r="N149" i="1"/>
  <c r="W148" i="1"/>
  <c r="Q148" i="1"/>
  <c r="P148" i="1"/>
  <c r="O148" i="1"/>
  <c r="M148" i="1"/>
  <c r="L148" i="1"/>
  <c r="K148" i="1"/>
  <c r="W146" i="1"/>
  <c r="U146" i="1"/>
  <c r="U145" i="1" s="1"/>
  <c r="S146" i="1"/>
  <c r="N146" i="1"/>
  <c r="Q145" i="1"/>
  <c r="P145" i="1"/>
  <c r="O145" i="1"/>
  <c r="M145" i="1"/>
  <c r="L145" i="1"/>
  <c r="K145" i="1"/>
  <c r="N143" i="1"/>
  <c r="R143" i="1" s="1"/>
  <c r="N142" i="1"/>
  <c r="W141" i="1"/>
  <c r="U141" i="1"/>
  <c r="S141" i="1"/>
  <c r="Q141" i="1"/>
  <c r="P141" i="1"/>
  <c r="O141" i="1"/>
  <c r="M141" i="1"/>
  <c r="L141" i="1"/>
  <c r="K141" i="1"/>
  <c r="R139" i="1"/>
  <c r="N139" i="1"/>
  <c r="W138" i="1"/>
  <c r="U138" i="1"/>
  <c r="S138" i="1"/>
  <c r="S137" i="1" s="1"/>
  <c r="N138" i="1"/>
  <c r="R138" i="1" s="1"/>
  <c r="W137" i="1"/>
  <c r="U137" i="1"/>
  <c r="R137" i="1"/>
  <c r="V137" i="1" s="1"/>
  <c r="Q137" i="1"/>
  <c r="P137" i="1"/>
  <c r="O137" i="1"/>
  <c r="N137" i="1"/>
  <c r="M137" i="1"/>
  <c r="L137" i="1"/>
  <c r="K137" i="1"/>
  <c r="N135" i="1"/>
  <c r="R135" i="1" s="1"/>
  <c r="L135" i="1"/>
  <c r="W134" i="1"/>
  <c r="U134" i="1"/>
  <c r="S134" i="1"/>
  <c r="M134" i="1"/>
  <c r="L134" i="1"/>
  <c r="N134" i="1" s="1"/>
  <c r="R134" i="1" s="1"/>
  <c r="N133" i="1"/>
  <c r="R133" i="1" s="1"/>
  <c r="M133" i="1"/>
  <c r="M130" i="1" s="1"/>
  <c r="N132" i="1"/>
  <c r="R132" i="1" s="1"/>
  <c r="N131" i="1"/>
  <c r="R131" i="1" s="1"/>
  <c r="V131" i="1" s="1"/>
  <c r="Q130" i="1"/>
  <c r="P130" i="1"/>
  <c r="O130" i="1"/>
  <c r="L130" i="1"/>
  <c r="K130" i="1"/>
  <c r="W128" i="1"/>
  <c r="U128" i="1"/>
  <c r="S128" i="1"/>
  <c r="L128" i="1"/>
  <c r="N128" i="1" s="1"/>
  <c r="R128" i="1" s="1"/>
  <c r="V128" i="1" s="1"/>
  <c r="W127" i="1"/>
  <c r="U127" i="1"/>
  <c r="S127" i="1"/>
  <c r="L127" i="1"/>
  <c r="N127" i="1" s="1"/>
  <c r="R127" i="1" s="1"/>
  <c r="L126" i="1"/>
  <c r="W125" i="1"/>
  <c r="U125" i="1"/>
  <c r="S125" i="1"/>
  <c r="N125" i="1"/>
  <c r="R125" i="1" s="1"/>
  <c r="V125" i="1" s="1"/>
  <c r="N124" i="1"/>
  <c r="R124" i="1" s="1"/>
  <c r="N123" i="1"/>
  <c r="R123" i="1" s="1"/>
  <c r="V123" i="1" s="1"/>
  <c r="Q122" i="1"/>
  <c r="P122" i="1"/>
  <c r="O122" i="1"/>
  <c r="M122" i="1"/>
  <c r="K122" i="1"/>
  <c r="W120" i="1"/>
  <c r="U120" i="1"/>
  <c r="S120" i="1"/>
  <c r="L120" i="1"/>
  <c r="N120" i="1" s="1"/>
  <c r="R120" i="1" s="1"/>
  <c r="W119" i="1"/>
  <c r="U119" i="1"/>
  <c r="S119" i="1"/>
  <c r="L119" i="1"/>
  <c r="N119" i="1" s="1"/>
  <c r="R119" i="1" s="1"/>
  <c r="V119" i="1" s="1"/>
  <c r="W118" i="1"/>
  <c r="U118" i="1"/>
  <c r="S118" i="1"/>
  <c r="N118" i="1"/>
  <c r="R118" i="1" s="1"/>
  <c r="N117" i="1"/>
  <c r="Q116" i="1"/>
  <c r="P116" i="1"/>
  <c r="O116" i="1"/>
  <c r="M116" i="1"/>
  <c r="K116" i="1"/>
  <c r="Q113" i="1"/>
  <c r="N113" i="1"/>
  <c r="Q112" i="1"/>
  <c r="N112" i="1"/>
  <c r="R112" i="1" s="1"/>
  <c r="W111" i="1"/>
  <c r="U111" i="1"/>
  <c r="S111" i="1"/>
  <c r="Q111" i="1"/>
  <c r="P111" i="1"/>
  <c r="O111" i="1"/>
  <c r="M111" i="1"/>
  <c r="L111" i="1"/>
  <c r="K111" i="1"/>
  <c r="W109" i="1"/>
  <c r="U109" i="1"/>
  <c r="V109" i="1" s="1"/>
  <c r="S109" i="1"/>
  <c r="S108" i="1" s="1"/>
  <c r="R109" i="1"/>
  <c r="R108" i="1" s="1"/>
  <c r="N109" i="1"/>
  <c r="W108" i="1"/>
  <c r="U108" i="1"/>
  <c r="Q108" i="1"/>
  <c r="P108" i="1"/>
  <c r="O108" i="1"/>
  <c r="N108" i="1"/>
  <c r="M108" i="1"/>
  <c r="L108" i="1"/>
  <c r="K108" i="1"/>
  <c r="W106" i="1"/>
  <c r="U106" i="1"/>
  <c r="T106" i="1"/>
  <c r="S106" i="1"/>
  <c r="N106" i="1"/>
  <c r="R106" i="1" s="1"/>
  <c r="R105" i="1" s="1"/>
  <c r="W105" i="1"/>
  <c r="X105" i="1" s="1"/>
  <c r="T105" i="1"/>
  <c r="S105" i="1"/>
  <c r="Q105" i="1"/>
  <c r="P105" i="1"/>
  <c r="O105" i="1"/>
  <c r="M105" i="1"/>
  <c r="L105" i="1"/>
  <c r="K105" i="1"/>
  <c r="W103" i="1"/>
  <c r="W102" i="1" s="1"/>
  <c r="U103" i="1"/>
  <c r="S103" i="1"/>
  <c r="R103" i="1"/>
  <c r="R102" i="1" s="1"/>
  <c r="N103" i="1"/>
  <c r="U102" i="1"/>
  <c r="S102" i="1"/>
  <c r="Q102" i="1"/>
  <c r="P102" i="1"/>
  <c r="O102" i="1"/>
  <c r="N102" i="1"/>
  <c r="M102" i="1"/>
  <c r="L102" i="1"/>
  <c r="K102" i="1"/>
  <c r="W100" i="1"/>
  <c r="U100" i="1"/>
  <c r="S100" i="1"/>
  <c r="S99" i="1" s="1"/>
  <c r="T99" i="1" s="1"/>
  <c r="N100" i="1"/>
  <c r="R100" i="1" s="1"/>
  <c r="R99" i="1" s="1"/>
  <c r="X99" i="1" s="1"/>
  <c r="W99" i="1"/>
  <c r="U99" i="1"/>
  <c r="Q99" i="1"/>
  <c r="P99" i="1"/>
  <c r="O99" i="1"/>
  <c r="M99" i="1"/>
  <c r="L99" i="1"/>
  <c r="K99" i="1"/>
  <c r="W97" i="1"/>
  <c r="U97" i="1"/>
  <c r="S97" i="1"/>
  <c r="S96" i="1" s="1"/>
  <c r="N97" i="1"/>
  <c r="W96" i="1"/>
  <c r="U96" i="1"/>
  <c r="Q96" i="1"/>
  <c r="P96" i="1"/>
  <c r="O96" i="1"/>
  <c r="M96" i="1"/>
  <c r="L96" i="1"/>
  <c r="K96" i="1"/>
  <c r="W94" i="1"/>
  <c r="U94" i="1"/>
  <c r="V94" i="1" s="1"/>
  <c r="S94" i="1"/>
  <c r="S93" i="1" s="1"/>
  <c r="N94" i="1"/>
  <c r="R94" i="1" s="1"/>
  <c r="R93" i="1" s="1"/>
  <c r="T93" i="1" s="1"/>
  <c r="W93" i="1"/>
  <c r="X93" i="1" s="1"/>
  <c r="U93" i="1"/>
  <c r="Q93" i="1"/>
  <c r="P93" i="1"/>
  <c r="O93" i="1"/>
  <c r="M93" i="1"/>
  <c r="L93" i="1"/>
  <c r="K93" i="1"/>
  <c r="W91" i="1"/>
  <c r="W90" i="1" s="1"/>
  <c r="U91" i="1"/>
  <c r="S91" i="1"/>
  <c r="R91" i="1"/>
  <c r="R90" i="1" s="1"/>
  <c r="V90" i="1" s="1"/>
  <c r="N91" i="1"/>
  <c r="U90" i="1"/>
  <c r="S90" i="1"/>
  <c r="Q90" i="1"/>
  <c r="P90" i="1"/>
  <c r="O90" i="1"/>
  <c r="N90" i="1"/>
  <c r="M90" i="1"/>
  <c r="L90" i="1"/>
  <c r="K90" i="1"/>
  <c r="W88" i="1"/>
  <c r="U88" i="1"/>
  <c r="S88" i="1"/>
  <c r="S87" i="1" s="1"/>
  <c r="N88" i="1"/>
  <c r="R88" i="1" s="1"/>
  <c r="R87" i="1" s="1"/>
  <c r="T87" i="1" s="1"/>
  <c r="W87" i="1"/>
  <c r="X87" i="1" s="1"/>
  <c r="U87" i="1"/>
  <c r="Q87" i="1"/>
  <c r="P87" i="1"/>
  <c r="O87" i="1"/>
  <c r="M87" i="1"/>
  <c r="L87" i="1"/>
  <c r="K87" i="1"/>
  <c r="W85" i="1"/>
  <c r="U85" i="1"/>
  <c r="S85" i="1"/>
  <c r="S84" i="1" s="1"/>
  <c r="R85" i="1"/>
  <c r="R84" i="1" s="1"/>
  <c r="N85" i="1"/>
  <c r="W84" i="1"/>
  <c r="U84" i="1"/>
  <c r="Q84" i="1"/>
  <c r="P84" i="1"/>
  <c r="O84" i="1"/>
  <c r="N84" i="1"/>
  <c r="M84" i="1"/>
  <c r="L84" i="1"/>
  <c r="K84" i="1"/>
  <c r="W82" i="1"/>
  <c r="U82" i="1"/>
  <c r="S82" i="1"/>
  <c r="N82" i="1"/>
  <c r="R82" i="1" s="1"/>
  <c r="S81" i="1"/>
  <c r="Q81" i="1"/>
  <c r="P81" i="1"/>
  <c r="O81" i="1"/>
  <c r="M81" i="1"/>
  <c r="L81" i="1"/>
  <c r="K81" i="1"/>
  <c r="V79" i="1"/>
  <c r="T79" i="1"/>
  <c r="R79" i="1"/>
  <c r="N79" i="1"/>
  <c r="W78" i="1"/>
  <c r="U78" i="1"/>
  <c r="S78" i="1"/>
  <c r="Q78" i="1"/>
  <c r="P78" i="1"/>
  <c r="O78" i="1"/>
  <c r="N78" i="1"/>
  <c r="M78" i="1"/>
  <c r="L78" i="1"/>
  <c r="K78" i="1"/>
  <c r="W76" i="1"/>
  <c r="U76" i="1"/>
  <c r="S76" i="1"/>
  <c r="N76" i="1"/>
  <c r="W75" i="1"/>
  <c r="U75" i="1"/>
  <c r="S75" i="1"/>
  <c r="Q75" i="1"/>
  <c r="P75" i="1"/>
  <c r="O75" i="1"/>
  <c r="M75" i="1"/>
  <c r="L75" i="1"/>
  <c r="K75" i="1"/>
  <c r="Q73" i="1"/>
  <c r="N73" i="1"/>
  <c r="W72" i="1"/>
  <c r="U72" i="1"/>
  <c r="S72" i="1"/>
  <c r="Q72" i="1"/>
  <c r="P72" i="1"/>
  <c r="O72" i="1"/>
  <c r="M72" i="1"/>
  <c r="L72" i="1"/>
  <c r="K72" i="1"/>
  <c r="N70" i="1"/>
  <c r="R70" i="1" s="1"/>
  <c r="V70" i="1" s="1"/>
  <c r="W69" i="1"/>
  <c r="U69" i="1"/>
  <c r="S69" i="1"/>
  <c r="S68" i="1" s="1"/>
  <c r="N69" i="1"/>
  <c r="R69" i="1" s="1"/>
  <c r="R68" i="1" s="1"/>
  <c r="W68" i="1"/>
  <c r="U68" i="1"/>
  <c r="T68" i="1"/>
  <c r="Q68" i="1"/>
  <c r="P68" i="1"/>
  <c r="O68" i="1"/>
  <c r="M68" i="1"/>
  <c r="L68" i="1"/>
  <c r="K68" i="1"/>
  <c r="S66" i="1"/>
  <c r="O66" i="1"/>
  <c r="L66" i="1"/>
  <c r="N66" i="1" s="1"/>
  <c r="R66" i="1" s="1"/>
  <c r="T66" i="1" s="1"/>
  <c r="O65" i="1"/>
  <c r="M65" i="1"/>
  <c r="M62" i="1" s="1"/>
  <c r="L65" i="1"/>
  <c r="W64" i="1"/>
  <c r="U64" i="1"/>
  <c r="S64" i="1"/>
  <c r="R64" i="1"/>
  <c r="V64" i="1" s="1"/>
  <c r="N64" i="1"/>
  <c r="W63" i="1"/>
  <c r="U63" i="1"/>
  <c r="S63" i="1"/>
  <c r="N63" i="1"/>
  <c r="R63" i="1" s="1"/>
  <c r="V63" i="1" s="1"/>
  <c r="W62" i="1"/>
  <c r="U62" i="1"/>
  <c r="Q62" i="1"/>
  <c r="P62" i="1"/>
  <c r="O62" i="1"/>
  <c r="K62" i="1"/>
  <c r="S60" i="1"/>
  <c r="O60" i="1"/>
  <c r="L60" i="1"/>
  <c r="O59" i="1"/>
  <c r="M59" i="1"/>
  <c r="L59" i="1"/>
  <c r="W58" i="1"/>
  <c r="U58" i="1"/>
  <c r="S58" i="1"/>
  <c r="T58" i="1" s="1"/>
  <c r="R58" i="1"/>
  <c r="N58" i="1"/>
  <c r="V57" i="1"/>
  <c r="T57" i="1"/>
  <c r="R57" i="1"/>
  <c r="X57" i="1" s="1"/>
  <c r="N57" i="1"/>
  <c r="W56" i="1"/>
  <c r="X56" i="1" s="1"/>
  <c r="U56" i="1"/>
  <c r="S56" i="1"/>
  <c r="N56" i="1"/>
  <c r="R56" i="1" s="1"/>
  <c r="W55" i="1"/>
  <c r="Q55" i="1"/>
  <c r="P55" i="1"/>
  <c r="O55" i="1"/>
  <c r="K55" i="1"/>
  <c r="O53" i="1"/>
  <c r="O49" i="1" s="1"/>
  <c r="L53" i="1"/>
  <c r="W52" i="1"/>
  <c r="U52" i="1"/>
  <c r="S52" i="1"/>
  <c r="N52" i="1"/>
  <c r="R52" i="1" s="1"/>
  <c r="W51" i="1"/>
  <c r="U51" i="1"/>
  <c r="S51" i="1"/>
  <c r="N51" i="1"/>
  <c r="R51" i="1" s="1"/>
  <c r="W50" i="1"/>
  <c r="U50" i="1"/>
  <c r="S50" i="1"/>
  <c r="N50" i="1"/>
  <c r="W49" i="1"/>
  <c r="U49" i="1"/>
  <c r="S49" i="1"/>
  <c r="Q49" i="1"/>
  <c r="P49" i="1"/>
  <c r="M49" i="1"/>
  <c r="K49" i="1"/>
  <c r="W47" i="1"/>
  <c r="X47" i="1" s="1"/>
  <c r="U47" i="1"/>
  <c r="S47" i="1"/>
  <c r="T47" i="1" s="1"/>
  <c r="N47" i="1"/>
  <c r="R47" i="1" s="1"/>
  <c r="W46" i="1"/>
  <c r="U46" i="1"/>
  <c r="S46" i="1"/>
  <c r="N46" i="1"/>
  <c r="R46" i="1" s="1"/>
  <c r="V46" i="1" s="1"/>
  <c r="W45" i="1"/>
  <c r="U45" i="1"/>
  <c r="S45" i="1"/>
  <c r="N45" i="1"/>
  <c r="W44" i="1"/>
  <c r="U44" i="1"/>
  <c r="Q44" i="1"/>
  <c r="P44" i="1"/>
  <c r="O44" i="1"/>
  <c r="M44" i="1"/>
  <c r="L44" i="1"/>
  <c r="K44" i="1"/>
  <c r="O42" i="1"/>
  <c r="L42" i="1"/>
  <c r="L38" i="1" s="1"/>
  <c r="W41" i="1"/>
  <c r="U41" i="1"/>
  <c r="S41" i="1"/>
  <c r="N41" i="1"/>
  <c r="R41" i="1" s="1"/>
  <c r="W40" i="1"/>
  <c r="U40" i="1"/>
  <c r="S40" i="1"/>
  <c r="N40" i="1"/>
  <c r="R40" i="1" s="1"/>
  <c r="W39" i="1"/>
  <c r="U39" i="1"/>
  <c r="S39" i="1"/>
  <c r="N39" i="1"/>
  <c r="R39" i="1" s="1"/>
  <c r="W38" i="1"/>
  <c r="U38" i="1"/>
  <c r="S38" i="1"/>
  <c r="Q38" i="1"/>
  <c r="P38" i="1"/>
  <c r="O38" i="1"/>
  <c r="M38" i="1"/>
  <c r="K38" i="1"/>
  <c r="O36" i="1"/>
  <c r="O33" i="1" s="1"/>
  <c r="L36" i="1"/>
  <c r="N36" i="1" s="1"/>
  <c r="R36" i="1" s="1"/>
  <c r="X35" i="1"/>
  <c r="N35" i="1"/>
  <c r="R35" i="1" s="1"/>
  <c r="T35" i="1" s="1"/>
  <c r="W34" i="1"/>
  <c r="U34" i="1"/>
  <c r="S34" i="1"/>
  <c r="N34" i="1"/>
  <c r="W33" i="1"/>
  <c r="U33" i="1"/>
  <c r="S33" i="1"/>
  <c r="Q33" i="1"/>
  <c r="P33" i="1"/>
  <c r="M33" i="1"/>
  <c r="K33" i="1"/>
  <c r="O31" i="1"/>
  <c r="O29" i="1" s="1"/>
  <c r="N31" i="1"/>
  <c r="R31" i="1" s="1"/>
  <c r="L31" i="1"/>
  <c r="Q30" i="1"/>
  <c r="Q29" i="1" s="1"/>
  <c r="N30" i="1"/>
  <c r="W29" i="1"/>
  <c r="U29" i="1"/>
  <c r="S29" i="1"/>
  <c r="P29" i="1"/>
  <c r="M29" i="1"/>
  <c r="L29" i="1"/>
  <c r="K29" i="1"/>
  <c r="O27" i="1"/>
  <c r="N27" i="1"/>
  <c r="Q26" i="1"/>
  <c r="Q25" i="1" s="1"/>
  <c r="N26" i="1"/>
  <c r="R26" i="1" s="1"/>
  <c r="T26" i="1" s="1"/>
  <c r="W25" i="1"/>
  <c r="U25" i="1"/>
  <c r="S25" i="1"/>
  <c r="P25" i="1"/>
  <c r="O25" i="1"/>
  <c r="M25" i="1"/>
  <c r="L25" i="1"/>
  <c r="K25" i="1"/>
  <c r="T23" i="1"/>
  <c r="R23" i="1"/>
  <c r="N23" i="1"/>
  <c r="V22" i="1"/>
  <c r="T22" i="1"/>
  <c r="R22" i="1"/>
  <c r="X22" i="1" s="1"/>
  <c r="N22" i="1"/>
  <c r="W21" i="1"/>
  <c r="U21" i="1"/>
  <c r="S21" i="1"/>
  <c r="Q21" i="1"/>
  <c r="P21" i="1"/>
  <c r="O21" i="1"/>
  <c r="N21" i="1"/>
  <c r="M21" i="1"/>
  <c r="L21" i="1"/>
  <c r="K21" i="1"/>
  <c r="R19" i="1"/>
  <c r="N19" i="1"/>
  <c r="V18" i="1"/>
  <c r="T18" i="1"/>
  <c r="R18" i="1"/>
  <c r="X18" i="1" s="1"/>
  <c r="N18" i="1"/>
  <c r="W17" i="1"/>
  <c r="U17" i="1"/>
  <c r="S17" i="1"/>
  <c r="Q17" i="1"/>
  <c r="P17" i="1"/>
  <c r="O17" i="1"/>
  <c r="N17" i="1"/>
  <c r="M17" i="1"/>
  <c r="L17" i="1"/>
  <c r="K17" i="1"/>
  <c r="R15" i="1"/>
  <c r="T15" i="1" s="1"/>
  <c r="N15" i="1"/>
  <c r="V14" i="1"/>
  <c r="T14" i="1"/>
  <c r="R14" i="1"/>
  <c r="X14" i="1" s="1"/>
  <c r="N14" i="1"/>
  <c r="W13" i="1"/>
  <c r="U13" i="1"/>
  <c r="S13" i="1"/>
  <c r="Q13" i="1"/>
  <c r="P13" i="1"/>
  <c r="O13" i="1"/>
  <c r="N13" i="1"/>
  <c r="M13" i="1"/>
  <c r="L13" i="1"/>
  <c r="K13" i="1"/>
  <c r="K114" i="1" s="1"/>
  <c r="T276" i="1" l="1"/>
  <c r="R275" i="1"/>
  <c r="V275" i="1" s="1"/>
  <c r="O114" i="1"/>
  <c r="R81" i="1"/>
  <c r="T81" i="1" s="1"/>
  <c r="T82" i="1"/>
  <c r="N126" i="1"/>
  <c r="R126" i="1" s="1"/>
  <c r="L122" i="1"/>
  <c r="T137" i="1"/>
  <c r="X139" i="1"/>
  <c r="V139" i="1"/>
  <c r="X143" i="1"/>
  <c r="T143" i="1"/>
  <c r="R155" i="1"/>
  <c r="X155" i="1" s="1"/>
  <c r="N154" i="1"/>
  <c r="V168" i="1"/>
  <c r="T168" i="1"/>
  <c r="N241" i="1"/>
  <c r="L240" i="1"/>
  <c r="X267" i="1"/>
  <c r="T267" i="1"/>
  <c r="V267" i="1"/>
  <c r="T46" i="1"/>
  <c r="S55" i="1"/>
  <c r="T63" i="1"/>
  <c r="N65" i="1"/>
  <c r="R65" i="1" s="1"/>
  <c r="R62" i="1" s="1"/>
  <c r="V62" i="1" s="1"/>
  <c r="L62" i="1"/>
  <c r="V134" i="1"/>
  <c r="U130" i="1"/>
  <c r="T139" i="1"/>
  <c r="V143" i="1"/>
  <c r="V149" i="1"/>
  <c r="L165" i="1"/>
  <c r="U217" i="1"/>
  <c r="V217" i="1" s="1"/>
  <c r="V218" i="1"/>
  <c r="T221" i="1"/>
  <c r="S220" i="1"/>
  <c r="W244" i="1"/>
  <c r="L266" i="1"/>
  <c r="N268" i="1"/>
  <c r="N266" i="1" s="1"/>
  <c r="U55" i="1"/>
  <c r="V58" i="1"/>
  <c r="V120" i="1"/>
  <c r="U116" i="1"/>
  <c r="R225" i="1"/>
  <c r="N224" i="1"/>
  <c r="L224" i="1"/>
  <c r="N226" i="1"/>
  <c r="R226" i="1" s="1"/>
  <c r="V226" i="1" s="1"/>
  <c r="R245" i="1"/>
  <c r="N244" i="1"/>
  <c r="X249" i="1"/>
  <c r="N258" i="1"/>
  <c r="R258" i="1" s="1"/>
  <c r="V258" i="1" s="1"/>
  <c r="X279" i="1"/>
  <c r="W281" i="1"/>
  <c r="X283" i="1"/>
  <c r="L33" i="1"/>
  <c r="X82" i="1"/>
  <c r="W81" i="1"/>
  <c r="X81" i="1" s="1"/>
  <c r="V84" i="1"/>
  <c r="V102" i="1"/>
  <c r="V103" i="1"/>
  <c r="X132" i="1"/>
  <c r="V132" i="1"/>
  <c r="T132" i="1"/>
  <c r="V161" i="1"/>
  <c r="O196" i="1"/>
  <c r="R197" i="1"/>
  <c r="T211" i="1"/>
  <c r="S209" i="1"/>
  <c r="V40" i="1"/>
  <c r="R45" i="1"/>
  <c r="N44" i="1"/>
  <c r="X46" i="1"/>
  <c r="V56" i="1"/>
  <c r="T64" i="1"/>
  <c r="V85" i="1"/>
  <c r="R97" i="1"/>
  <c r="R96" i="1" s="1"/>
  <c r="V96" i="1" s="1"/>
  <c r="N96" i="1"/>
  <c r="V106" i="1"/>
  <c r="U105" i="1"/>
  <c r="V105" i="1" s="1"/>
  <c r="N111" i="1"/>
  <c r="X118" i="1"/>
  <c r="X124" i="1"/>
  <c r="T124" i="1"/>
  <c r="V127" i="1"/>
  <c r="X161" i="1"/>
  <c r="T167" i="1"/>
  <c r="V167" i="1"/>
  <c r="X167" i="1"/>
  <c r="X172" i="1"/>
  <c r="V172" i="1"/>
  <c r="T183" i="1"/>
  <c r="W213" i="1"/>
  <c r="X215" i="1"/>
  <c r="N271" i="1"/>
  <c r="R272" i="1"/>
  <c r="R271" i="1" s="1"/>
  <c r="V271" i="1" s="1"/>
  <c r="U285" i="1"/>
  <c r="N296" i="1"/>
  <c r="R297" i="1"/>
  <c r="T297" i="1" s="1"/>
  <c r="X314" i="1"/>
  <c r="V47" i="1"/>
  <c r="T56" i="1"/>
  <c r="X63" i="1"/>
  <c r="X79" i="1"/>
  <c r="R78" i="1"/>
  <c r="V78" i="1" s="1"/>
  <c r="V82" i="1"/>
  <c r="U81" i="1"/>
  <c r="T88" i="1"/>
  <c r="V91" i="1"/>
  <c r="X106" i="1"/>
  <c r="V108" i="1"/>
  <c r="V124" i="1"/>
  <c r="V138" i="1"/>
  <c r="N148" i="1"/>
  <c r="R149" i="1"/>
  <c r="R148" i="1" s="1"/>
  <c r="W165" i="1"/>
  <c r="X168" i="1"/>
  <c r="T172" i="1"/>
  <c r="N181" i="1"/>
  <c r="R182" i="1"/>
  <c r="L191" i="1"/>
  <c r="V202" i="1"/>
  <c r="X202" i="1"/>
  <c r="N222" i="1"/>
  <c r="R222" i="1" s="1"/>
  <c r="V222" i="1" s="1"/>
  <c r="L220" i="1"/>
  <c r="R248" i="1"/>
  <c r="N247" i="1"/>
  <c r="R251" i="1"/>
  <c r="V251" i="1" s="1"/>
  <c r="V263" i="1"/>
  <c r="S266" i="1"/>
  <c r="T269" i="1"/>
  <c r="S281" i="1"/>
  <c r="T283" i="1"/>
  <c r="X304" i="1"/>
  <c r="T314" i="1"/>
  <c r="W307" i="1"/>
  <c r="X307" i="1" s="1"/>
  <c r="X309" i="1"/>
  <c r="X64" i="1"/>
  <c r="X68" i="1"/>
  <c r="V88" i="1"/>
  <c r="T103" i="1"/>
  <c r="U122" i="1"/>
  <c r="X137" i="1"/>
  <c r="V162" i="1"/>
  <c r="R166" i="1"/>
  <c r="N165" i="1"/>
  <c r="X182" i="1"/>
  <c r="W181" i="1"/>
  <c r="L196" i="1"/>
  <c r="N199" i="1"/>
  <c r="R199" i="1" s="1"/>
  <c r="T199" i="1" s="1"/>
  <c r="V211" i="1"/>
  <c r="R214" i="1"/>
  <c r="N213" i="1"/>
  <c r="S247" i="1"/>
  <c r="T249" i="1"/>
  <c r="U266" i="1"/>
  <c r="L271" i="1"/>
  <c r="N273" i="1"/>
  <c r="R273" i="1" s="1"/>
  <c r="X273" i="1" s="1"/>
  <c r="R279" i="1"/>
  <c r="N278" i="1"/>
  <c r="R283" i="1"/>
  <c r="V283" i="1" s="1"/>
  <c r="N281" i="1"/>
  <c r="L285" i="1"/>
  <c r="N287" i="1"/>
  <c r="R287" i="1" s="1"/>
  <c r="R285" i="1" s="1"/>
  <c r="V285" i="1" s="1"/>
  <c r="X289" i="1"/>
  <c r="T315" i="1"/>
  <c r="T162" i="1"/>
  <c r="L185" i="1"/>
  <c r="O191" i="1"/>
  <c r="N196" i="1"/>
  <c r="T271" i="1"/>
  <c r="T294" i="1"/>
  <c r="X17" i="1"/>
  <c r="X39" i="1"/>
  <c r="T39" i="1"/>
  <c r="V39" i="1"/>
  <c r="R38" i="1"/>
  <c r="X40" i="1"/>
  <c r="T40" i="1"/>
  <c r="X41" i="1"/>
  <c r="T41" i="1"/>
  <c r="V41" i="1"/>
  <c r="Q114" i="1"/>
  <c r="V23" i="1"/>
  <c r="X23" i="1"/>
  <c r="R21" i="1"/>
  <c r="V21" i="1" s="1"/>
  <c r="R27" i="1"/>
  <c r="R25" i="1" s="1"/>
  <c r="V25" i="1" s="1"/>
  <c r="N25" i="1"/>
  <c r="N29" i="1"/>
  <c r="R30" i="1"/>
  <c r="V35" i="1"/>
  <c r="N42" i="1"/>
  <c r="R42" i="1" s="1"/>
  <c r="V51" i="1"/>
  <c r="V52" i="1"/>
  <c r="X58" i="1"/>
  <c r="N60" i="1"/>
  <c r="R60" i="1" s="1"/>
  <c r="L55" i="1"/>
  <c r="S62" i="1"/>
  <c r="V69" i="1"/>
  <c r="T85" i="1"/>
  <c r="V87" i="1"/>
  <c r="X88" i="1"/>
  <c r="X90" i="1"/>
  <c r="T94" i="1"/>
  <c r="T96" i="1"/>
  <c r="V97" i="1"/>
  <c r="V100" i="1"/>
  <c r="X103" i="1"/>
  <c r="T109" i="1"/>
  <c r="R117" i="1"/>
  <c r="N116" i="1"/>
  <c r="T118" i="1"/>
  <c r="R122" i="1"/>
  <c r="V122" i="1" s="1"/>
  <c r="X123" i="1"/>
  <c r="T123" i="1"/>
  <c r="T125" i="1"/>
  <c r="T127" i="1"/>
  <c r="V135" i="1"/>
  <c r="T135" i="1"/>
  <c r="X135" i="1"/>
  <c r="X138" i="1"/>
  <c r="W145" i="1"/>
  <c r="S158" i="1"/>
  <c r="X173" i="1"/>
  <c r="W171" i="1"/>
  <c r="W196" i="1"/>
  <c r="X199" i="1"/>
  <c r="U201" i="1"/>
  <c r="X221" i="1"/>
  <c r="W220" i="1"/>
  <c r="T226" i="1"/>
  <c r="S224" i="1"/>
  <c r="S228" i="1"/>
  <c r="X238" i="1"/>
  <c r="W237" i="1"/>
  <c r="S244" i="1"/>
  <c r="T245" i="1"/>
  <c r="T258" i="1"/>
  <c r="X258" i="1"/>
  <c r="S292" i="1"/>
  <c r="V19" i="1"/>
  <c r="X19" i="1"/>
  <c r="R17" i="1"/>
  <c r="V17" i="1" s="1"/>
  <c r="R34" i="1"/>
  <c r="N33" i="1"/>
  <c r="X84" i="1"/>
  <c r="T90" i="1"/>
  <c r="X97" i="1"/>
  <c r="X108" i="1"/>
  <c r="T119" i="1"/>
  <c r="T126" i="1"/>
  <c r="V126" i="1"/>
  <c r="R146" i="1"/>
  <c r="R145" i="1" s="1"/>
  <c r="N145" i="1"/>
  <c r="T149" i="1"/>
  <c r="S148" i="1"/>
  <c r="T148" i="1" s="1"/>
  <c r="S151" i="1"/>
  <c r="L158" i="1"/>
  <c r="N163" i="1"/>
  <c r="R163" i="1" s="1"/>
  <c r="R171" i="1"/>
  <c r="T171" i="1" s="1"/>
  <c r="V173" i="1"/>
  <c r="T176" i="1"/>
  <c r="S175" i="1"/>
  <c r="X207" i="1"/>
  <c r="V207" i="1"/>
  <c r="R206" i="1"/>
  <c r="V206" i="1" s="1"/>
  <c r="T207" i="1"/>
  <c r="U234" i="1"/>
  <c r="R237" i="1"/>
  <c r="T237" i="1" s="1"/>
  <c r="V238" i="1"/>
  <c r="T253" i="1"/>
  <c r="S251" i="1"/>
  <c r="T251" i="1" s="1"/>
  <c r="X263" i="1"/>
  <c r="W261" i="1"/>
  <c r="R303" i="1"/>
  <c r="L114" i="1"/>
  <c r="P114" i="1"/>
  <c r="V15" i="1"/>
  <c r="X15" i="1"/>
  <c r="R13" i="1"/>
  <c r="T19" i="1"/>
  <c r="V26" i="1"/>
  <c r="X26" i="1"/>
  <c r="S44" i="1"/>
  <c r="N49" i="1"/>
  <c r="R50" i="1"/>
  <c r="X51" i="1"/>
  <c r="T51" i="1"/>
  <c r="X52" i="1"/>
  <c r="T52" i="1"/>
  <c r="L49" i="1"/>
  <c r="N53" i="1"/>
  <c r="R53" i="1" s="1"/>
  <c r="M55" i="1"/>
  <c r="M114" i="1" s="1"/>
  <c r="N59" i="1"/>
  <c r="X66" i="1"/>
  <c r="V66" i="1"/>
  <c r="V68" i="1"/>
  <c r="X69" i="1"/>
  <c r="R73" i="1"/>
  <c r="N72" i="1"/>
  <c r="R76" i="1"/>
  <c r="N75" i="1"/>
  <c r="T84" i="1"/>
  <c r="X91" i="1"/>
  <c r="T97" i="1"/>
  <c r="V99" i="1"/>
  <c r="X100" i="1"/>
  <c r="X102" i="1"/>
  <c r="T108" i="1"/>
  <c r="Q319" i="1"/>
  <c r="X126" i="1"/>
  <c r="X127" i="1"/>
  <c r="T133" i="1"/>
  <c r="V133" i="1"/>
  <c r="T138" i="1"/>
  <c r="T156" i="1"/>
  <c r="V156" i="1"/>
  <c r="R187" i="1"/>
  <c r="X187" i="1" s="1"/>
  <c r="N185" i="1"/>
  <c r="L201" i="1"/>
  <c r="N204" i="1"/>
  <c r="V249" i="1"/>
  <c r="U247" i="1"/>
  <c r="T69" i="1"/>
  <c r="T70" i="1"/>
  <c r="X70" i="1"/>
  <c r="X85" i="1"/>
  <c r="T91" i="1"/>
  <c r="V93" i="1"/>
  <c r="X94" i="1"/>
  <c r="X96" i="1"/>
  <c r="T100" i="1"/>
  <c r="T102" i="1"/>
  <c r="X109" i="1"/>
  <c r="M319" i="1"/>
  <c r="X119" i="1"/>
  <c r="X125" i="1"/>
  <c r="R130" i="1"/>
  <c r="X131" i="1"/>
  <c r="T131" i="1"/>
  <c r="X133" i="1"/>
  <c r="X156" i="1"/>
  <c r="R159" i="1"/>
  <c r="V189" i="1"/>
  <c r="X189" i="1"/>
  <c r="T189" i="1"/>
  <c r="W209" i="1"/>
  <c r="X211" i="1"/>
  <c r="X222" i="1"/>
  <c r="T222" i="1"/>
  <c r="R262" i="1"/>
  <c r="N261" i="1"/>
  <c r="T282" i="1"/>
  <c r="V282" i="1"/>
  <c r="X282" i="1"/>
  <c r="R281" i="1"/>
  <c r="R113" i="1"/>
  <c r="R111" i="1" s="1"/>
  <c r="L116" i="1"/>
  <c r="P319" i="1"/>
  <c r="S122" i="1"/>
  <c r="W122" i="1"/>
  <c r="S130" i="1"/>
  <c r="W130" i="1"/>
  <c r="S145" i="1"/>
  <c r="T145" i="1" s="1"/>
  <c r="U148" i="1"/>
  <c r="V148" i="1" s="1"/>
  <c r="X149" i="1"/>
  <c r="R152" i="1"/>
  <c r="N151" i="1"/>
  <c r="V160" i="1"/>
  <c r="X162" i="1"/>
  <c r="R177" i="1"/>
  <c r="V177" i="1"/>
  <c r="V179" i="1"/>
  <c r="X179" i="1"/>
  <c r="S191" i="1"/>
  <c r="R196" i="1"/>
  <c r="V196" i="1" s="1"/>
  <c r="T206" i="1"/>
  <c r="T217" i="1"/>
  <c r="W240" i="1"/>
  <c r="X264" i="1"/>
  <c r="T264" i="1"/>
  <c r="V264" i="1"/>
  <c r="W271" i="1"/>
  <c r="X275" i="1"/>
  <c r="S278" i="1"/>
  <c r="X294" i="1"/>
  <c r="W292" i="1"/>
  <c r="L302" i="1"/>
  <c r="N305" i="1"/>
  <c r="R305" i="1" s="1"/>
  <c r="R142" i="1"/>
  <c r="N141" i="1"/>
  <c r="V145" i="1"/>
  <c r="X148" i="1"/>
  <c r="T173" i="1"/>
  <c r="V176" i="1"/>
  <c r="U175" i="1"/>
  <c r="V188" i="1"/>
  <c r="X188" i="1"/>
  <c r="U224" i="1"/>
  <c r="T231" i="1"/>
  <c r="V231" i="1"/>
  <c r="X252" i="1"/>
  <c r="W251" i="1"/>
  <c r="V257" i="1"/>
  <c r="U255" i="1"/>
  <c r="T286" i="1"/>
  <c r="S285" i="1"/>
  <c r="V309" i="1"/>
  <c r="U307" i="1"/>
  <c r="V307" i="1" s="1"/>
  <c r="N311" i="1"/>
  <c r="R312" i="1"/>
  <c r="N68" i="1"/>
  <c r="N81" i="1"/>
  <c r="N87" i="1"/>
  <c r="N93" i="1"/>
  <c r="N99" i="1"/>
  <c r="N105" i="1"/>
  <c r="K319" i="1"/>
  <c r="K321" i="1" s="1"/>
  <c r="O319" i="1"/>
  <c r="O321" i="1" s="1"/>
  <c r="S116" i="1"/>
  <c r="W116" i="1"/>
  <c r="V118" i="1"/>
  <c r="T120" i="1"/>
  <c r="X120" i="1"/>
  <c r="N122" i="1"/>
  <c r="T128" i="1"/>
  <c r="X128" i="1"/>
  <c r="N130" i="1"/>
  <c r="T134" i="1"/>
  <c r="X134" i="1"/>
  <c r="V152" i="1"/>
  <c r="V169" i="1"/>
  <c r="X169" i="1"/>
  <c r="L175" i="1"/>
  <c r="N178" i="1"/>
  <c r="T186" i="1"/>
  <c r="V186" i="1"/>
  <c r="T188" i="1"/>
  <c r="R194" i="1"/>
  <c r="N191" i="1"/>
  <c r="V198" i="1"/>
  <c r="X198" i="1"/>
  <c r="S196" i="1"/>
  <c r="T202" i="1"/>
  <c r="X206" i="1"/>
  <c r="S213" i="1"/>
  <c r="N217" i="1"/>
  <c r="X231" i="1"/>
  <c r="V232" i="1"/>
  <c r="V237" i="1"/>
  <c r="X242" i="1"/>
  <c r="T242" i="1"/>
  <c r="V242" i="1"/>
  <c r="R256" i="1"/>
  <c r="N255" i="1"/>
  <c r="R268" i="1"/>
  <c r="T273" i="1"/>
  <c r="V273" i="1"/>
  <c r="U281" i="1"/>
  <c r="V281" i="1" s="1"/>
  <c r="T290" i="1"/>
  <c r="S289" i="1"/>
  <c r="T289" i="1" s="1"/>
  <c r="V294" i="1"/>
  <c r="U292" i="1"/>
  <c r="S296" i="1"/>
  <c r="T300" i="1"/>
  <c r="S299" i="1"/>
  <c r="X176" i="1"/>
  <c r="R192" i="1"/>
  <c r="R191" i="1" s="1"/>
  <c r="V191" i="1" s="1"/>
  <c r="V199" i="1"/>
  <c r="T218" i="1"/>
  <c r="V221" i="1"/>
  <c r="X226" i="1"/>
  <c r="R229" i="1"/>
  <c r="V229" i="1" s="1"/>
  <c r="N228" i="1"/>
  <c r="T232" i="1"/>
  <c r="X253" i="1"/>
  <c r="X257" i="1"/>
  <c r="T257" i="1"/>
  <c r="T259" i="1"/>
  <c r="S255" i="1"/>
  <c r="V276" i="1"/>
  <c r="X276" i="1"/>
  <c r="X286" i="1"/>
  <c r="R296" i="1"/>
  <c r="V296" i="1" s="1"/>
  <c r="R300" i="1"/>
  <c r="N299" i="1"/>
  <c r="T307" i="1"/>
  <c r="R318" i="1"/>
  <c r="N317" i="1"/>
  <c r="R203" i="1"/>
  <c r="R210" i="1"/>
  <c r="N209" i="1"/>
  <c r="V215" i="1"/>
  <c r="X218" i="1"/>
  <c r="N220" i="1"/>
  <c r="X232" i="1"/>
  <c r="R235" i="1"/>
  <c r="N234" i="1"/>
  <c r="T238" i="1"/>
  <c r="S240" i="1"/>
  <c r="T252" i="1"/>
  <c r="X259" i="1"/>
  <c r="W255" i="1"/>
  <c r="T263" i="1"/>
  <c r="S261" i="1"/>
  <c r="V269" i="1"/>
  <c r="T275" i="1"/>
  <c r="V290" i="1"/>
  <c r="U289" i="1"/>
  <c r="V289" i="1" s="1"/>
  <c r="W296" i="1"/>
  <c r="V304" i="1"/>
  <c r="U302" i="1"/>
  <c r="X290" i="1"/>
  <c r="R293" i="1"/>
  <c r="V293" i="1" s="1"/>
  <c r="N292" i="1"/>
  <c r="V300" i="1"/>
  <c r="V214" i="1" l="1"/>
  <c r="R213" i="1"/>
  <c r="V213" i="1" s="1"/>
  <c r="X214" i="1"/>
  <c r="R247" i="1"/>
  <c r="X248" i="1"/>
  <c r="N240" i="1"/>
  <c r="R241" i="1"/>
  <c r="T272" i="1"/>
  <c r="N285" i="1"/>
  <c r="X271" i="1"/>
  <c r="N62" i="1"/>
  <c r="M321" i="1"/>
  <c r="T229" i="1"/>
  <c r="T155" i="1"/>
  <c r="V279" i="1"/>
  <c r="R278" i="1"/>
  <c r="R154" i="1"/>
  <c r="V45" i="1"/>
  <c r="R44" i="1"/>
  <c r="V245" i="1"/>
  <c r="R244" i="1"/>
  <c r="V244" i="1" s="1"/>
  <c r="V225" i="1"/>
  <c r="R224" i="1"/>
  <c r="X224" i="1" s="1"/>
  <c r="X225" i="1"/>
  <c r="T225" i="1"/>
  <c r="X296" i="1"/>
  <c r="V171" i="1"/>
  <c r="X272" i="1"/>
  <c r="V248" i="1"/>
  <c r="T122" i="1"/>
  <c r="T281" i="1"/>
  <c r="V130" i="1"/>
  <c r="U114" i="1"/>
  <c r="U321" i="1" s="1"/>
  <c r="T244" i="1"/>
  <c r="V155" i="1"/>
  <c r="T17" i="1"/>
  <c r="T279" i="1"/>
  <c r="V182" i="1"/>
  <c r="R181" i="1"/>
  <c r="T182" i="1"/>
  <c r="X78" i="1"/>
  <c r="X245" i="1"/>
  <c r="T214" i="1"/>
  <c r="X297" i="1"/>
  <c r="X281" i="1"/>
  <c r="V297" i="1"/>
  <c r="R220" i="1"/>
  <c r="V220" i="1" s="1"/>
  <c r="V272" i="1"/>
  <c r="X251" i="1"/>
  <c r="T278" i="1"/>
  <c r="T248" i="1"/>
  <c r="V247" i="1"/>
  <c r="P321" i="1"/>
  <c r="W114" i="1"/>
  <c r="T166" i="1"/>
  <c r="R165" i="1"/>
  <c r="X166" i="1"/>
  <c r="V166" i="1"/>
  <c r="V81" i="1"/>
  <c r="T78" i="1"/>
  <c r="T45" i="1"/>
  <c r="X45" i="1"/>
  <c r="X244" i="1"/>
  <c r="V224" i="1"/>
  <c r="V302" i="1"/>
  <c r="X255" i="1"/>
  <c r="R234" i="1"/>
  <c r="X235" i="1"/>
  <c r="T235" i="1"/>
  <c r="R209" i="1"/>
  <c r="X209" i="1" s="1"/>
  <c r="T210" i="1"/>
  <c r="X210" i="1"/>
  <c r="V210" i="1"/>
  <c r="X285" i="1"/>
  <c r="X194" i="1"/>
  <c r="T194" i="1"/>
  <c r="T285" i="1"/>
  <c r="T305" i="1"/>
  <c r="V305" i="1"/>
  <c r="X305" i="1"/>
  <c r="R151" i="1"/>
  <c r="X152" i="1"/>
  <c r="V159" i="1"/>
  <c r="R158" i="1"/>
  <c r="X159" i="1"/>
  <c r="R204" i="1"/>
  <c r="N201" i="1"/>
  <c r="X62" i="1"/>
  <c r="X50" i="1"/>
  <c r="T50" i="1"/>
  <c r="R49" i="1"/>
  <c r="V13" i="1"/>
  <c r="T13" i="1"/>
  <c r="X163" i="1"/>
  <c r="T163" i="1"/>
  <c r="V163" i="1"/>
  <c r="X146" i="1"/>
  <c r="V60" i="1"/>
  <c r="X60" i="1"/>
  <c r="X30" i="1"/>
  <c r="R29" i="1"/>
  <c r="T30" i="1"/>
  <c r="V30" i="1"/>
  <c r="X38" i="1"/>
  <c r="T38" i="1"/>
  <c r="X21" i="1"/>
  <c r="X25" i="1"/>
  <c r="T21" i="1"/>
  <c r="R292" i="1"/>
  <c r="T292" i="1" s="1"/>
  <c r="X293" i="1"/>
  <c r="X268" i="1"/>
  <c r="T268" i="1"/>
  <c r="R266" i="1"/>
  <c r="V268" i="1"/>
  <c r="X192" i="1"/>
  <c r="W319" i="1"/>
  <c r="V194" i="1"/>
  <c r="X130" i="1"/>
  <c r="U319" i="1"/>
  <c r="R75" i="1"/>
  <c r="X76" i="1"/>
  <c r="T76" i="1"/>
  <c r="T60" i="1"/>
  <c r="R33" i="1"/>
  <c r="T34" i="1"/>
  <c r="X34" i="1"/>
  <c r="T228" i="1"/>
  <c r="T158" i="1"/>
  <c r="X145" i="1"/>
  <c r="V50" i="1"/>
  <c r="V34" i="1"/>
  <c r="Q321" i="1"/>
  <c r="R317" i="1"/>
  <c r="T318" i="1"/>
  <c r="V318" i="1"/>
  <c r="X318" i="1"/>
  <c r="T296" i="1"/>
  <c r="R178" i="1"/>
  <c r="N175" i="1"/>
  <c r="S319" i="1"/>
  <c r="V312" i="1"/>
  <c r="T312" i="1"/>
  <c r="X312" i="1"/>
  <c r="R311" i="1"/>
  <c r="R141" i="1"/>
  <c r="T142" i="1"/>
  <c r="V142" i="1"/>
  <c r="X142" i="1"/>
  <c r="T192" i="1"/>
  <c r="T130" i="1"/>
  <c r="L319" i="1"/>
  <c r="L321" i="1" s="1"/>
  <c r="R261" i="1"/>
  <c r="V261" i="1" s="1"/>
  <c r="T262" i="1"/>
  <c r="X262" i="1"/>
  <c r="V262" i="1"/>
  <c r="N302" i="1"/>
  <c r="X237" i="1"/>
  <c r="X196" i="1"/>
  <c r="V76" i="1"/>
  <c r="T62" i="1"/>
  <c r="T25" i="1"/>
  <c r="X13" i="1"/>
  <c r="S114" i="1"/>
  <c r="R299" i="1"/>
  <c r="X300" i="1"/>
  <c r="R228" i="1"/>
  <c r="X229" i="1"/>
  <c r="V192" i="1"/>
  <c r="X256" i="1"/>
  <c r="R255" i="1"/>
  <c r="V255" i="1" s="1"/>
  <c r="T256" i="1"/>
  <c r="V256" i="1"/>
  <c r="T196" i="1"/>
  <c r="T159" i="1"/>
  <c r="X287" i="1"/>
  <c r="T287" i="1"/>
  <c r="V287" i="1"/>
  <c r="X191" i="1"/>
  <c r="T191" i="1"/>
  <c r="T177" i="1"/>
  <c r="X177" i="1"/>
  <c r="R175" i="1"/>
  <c r="X175" i="1" s="1"/>
  <c r="V146" i="1"/>
  <c r="X122" i="1"/>
  <c r="N158" i="1"/>
  <c r="V187" i="1"/>
  <c r="R185" i="1"/>
  <c r="T187" i="1"/>
  <c r="T146" i="1"/>
  <c r="X73" i="1"/>
  <c r="R72" i="1"/>
  <c r="T73" i="1"/>
  <c r="V73" i="1"/>
  <c r="R59" i="1"/>
  <c r="R55" i="1" s="1"/>
  <c r="N55" i="1"/>
  <c r="V303" i="1"/>
  <c r="T303" i="1"/>
  <c r="X303" i="1"/>
  <c r="R302" i="1"/>
  <c r="V235" i="1"/>
  <c r="T152" i="1"/>
  <c r="T293" i="1"/>
  <c r="X171" i="1"/>
  <c r="T117" i="1"/>
  <c r="R116" i="1"/>
  <c r="V117" i="1"/>
  <c r="X117" i="1"/>
  <c r="N38" i="1"/>
  <c r="V38" i="1"/>
  <c r="V181" i="1" l="1"/>
  <c r="T181" i="1"/>
  <c r="V278" i="1"/>
  <c r="X278" i="1"/>
  <c r="V292" i="1"/>
  <c r="X165" i="1"/>
  <c r="V165" i="1"/>
  <c r="T165" i="1"/>
  <c r="V44" i="1"/>
  <c r="X44" i="1"/>
  <c r="N114" i="1"/>
  <c r="N321" i="1" s="1"/>
  <c r="X292" i="1"/>
  <c r="N319" i="1"/>
  <c r="T213" i="1"/>
  <c r="X247" i="1"/>
  <c r="T247" i="1"/>
  <c r="X213" i="1"/>
  <c r="T224" i="1"/>
  <c r="T44" i="1"/>
  <c r="V154" i="1"/>
  <c r="X154" i="1"/>
  <c r="T154" i="1"/>
  <c r="X220" i="1"/>
  <c r="R240" i="1"/>
  <c r="V241" i="1"/>
  <c r="T241" i="1"/>
  <c r="X241" i="1"/>
  <c r="X181" i="1"/>
  <c r="T220" i="1"/>
  <c r="S321" i="1"/>
  <c r="V311" i="1"/>
  <c r="T311" i="1"/>
  <c r="X311" i="1"/>
  <c r="T33" i="1"/>
  <c r="X33" i="1"/>
  <c r="V33" i="1"/>
  <c r="X261" i="1"/>
  <c r="X49" i="1"/>
  <c r="T49" i="1"/>
  <c r="V49" i="1"/>
  <c r="X151" i="1"/>
  <c r="V151" i="1"/>
  <c r="X234" i="1"/>
  <c r="T234" i="1"/>
  <c r="X72" i="1"/>
  <c r="T72" i="1"/>
  <c r="V72" i="1"/>
  <c r="V185" i="1"/>
  <c r="X185" i="1"/>
  <c r="T185" i="1"/>
  <c r="V299" i="1"/>
  <c r="X299" i="1"/>
  <c r="X141" i="1"/>
  <c r="V141" i="1"/>
  <c r="T141" i="1"/>
  <c r="T178" i="1"/>
  <c r="V178" i="1"/>
  <c r="X178" i="1"/>
  <c r="X75" i="1"/>
  <c r="T75" i="1"/>
  <c r="V75" i="1"/>
  <c r="T29" i="1"/>
  <c r="X29" i="1"/>
  <c r="V29" i="1"/>
  <c r="X204" i="1"/>
  <c r="T204" i="1"/>
  <c r="V204" i="1"/>
  <c r="T299" i="1"/>
  <c r="T209" i="1"/>
  <c r="V209" i="1"/>
  <c r="V116" i="1"/>
  <c r="T55" i="1"/>
  <c r="X55" i="1"/>
  <c r="V55" i="1"/>
  <c r="V228" i="1"/>
  <c r="X228" i="1"/>
  <c r="W321" i="1"/>
  <c r="V175" i="1"/>
  <c r="T116" i="1"/>
  <c r="X317" i="1"/>
  <c r="T317" i="1"/>
  <c r="V317" i="1"/>
  <c r="R201" i="1"/>
  <c r="X302" i="1"/>
  <c r="T302" i="1"/>
  <c r="T255" i="1"/>
  <c r="V234" i="1"/>
  <c r="X116" i="1"/>
  <c r="T266" i="1"/>
  <c r="V266" i="1"/>
  <c r="X266" i="1"/>
  <c r="T261" i="1"/>
  <c r="T151" i="1"/>
  <c r="T175" i="1"/>
  <c r="R114" i="1"/>
  <c r="V158" i="1"/>
  <c r="X158" i="1"/>
  <c r="V240" i="1" l="1"/>
  <c r="X240" i="1"/>
  <c r="T240" i="1"/>
  <c r="V114" i="1"/>
  <c r="X114" i="1"/>
  <c r="X201" i="1"/>
  <c r="T201" i="1"/>
  <c r="V201" i="1"/>
  <c r="R319" i="1"/>
  <c r="T114" i="1"/>
  <c r="X319" i="1" l="1"/>
  <c r="T319" i="1"/>
  <c r="V319" i="1"/>
  <c r="R321" i="1"/>
  <c r="V321" i="1" l="1"/>
  <c r="X321" i="1"/>
  <c r="T321" i="1"/>
</calcChain>
</file>

<file path=xl/sharedStrings.xml><?xml version="1.0" encoding="utf-8"?>
<sst xmlns="http://schemas.openxmlformats.org/spreadsheetml/2006/main" count="1730" uniqueCount="303">
  <si>
    <t>PODER JUDICIÁRIO</t>
  </si>
  <si>
    <t>Orgão: 04 - Tribunal de Justiça do Estado do Pará</t>
  </si>
  <si>
    <t>Unidade Orçamentária: 04101 - Tribunal de Justiça do Estado</t>
  </si>
  <si>
    <t xml:space="preserve">                                          04102 - Fundo de Reaparelhamento do Poder Judiciário</t>
  </si>
  <si>
    <t>Mês de Referência: Maio de 2020</t>
  </si>
  <si>
    <t>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</si>
  <si>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</si>
  <si>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</si>
  <si>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</si>
  <si>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</si>
  <si>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</si>
  <si>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Movimentação Líquida de Créditos</t>
  </si>
  <si>
    <t>Dotação Líquida</t>
  </si>
  <si>
    <t>Execução</t>
  </si>
  <si>
    <t>Unidade Orçamentária</t>
  </si>
  <si>
    <t>Função e Subfunção</t>
  </si>
  <si>
    <t>Programática (Programa, Ação e Subtítulo)</t>
  </si>
  <si>
    <t>Descrição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</si>
  <si>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</si>
  <si>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</si>
  <si>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</si>
  <si>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</si>
  <si>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</si>
  <si>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</si>
  <si>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</si>
  <si>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</si>
  <si>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</si>
  <si>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</si>
  <si>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</si>
  <si>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</si>
  <si>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</si>
  <si>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</si>
  <si>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</si>
  <si>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</si>
  <si>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</si>
  <si>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</si>
  <si>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</si>
  <si>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</si>
  <si>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</si>
  <si>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H=D-E+F+G</t>
  </si>
  <si>
    <t>I</t>
  </si>
  <si>
    <t>I/H</t>
  </si>
  <si>
    <t>J</t>
  </si>
  <si>
    <t>J/H</t>
  </si>
  <si>
    <t>K</t>
  </si>
  <si>
    <t>K/H</t>
  </si>
  <si>
    <t>040101</t>
  </si>
  <si>
    <t xml:space="preserve">Tribunal de Justiça do Estado </t>
  </si>
  <si>
    <t>1417 / 7649</t>
  </si>
  <si>
    <t xml:space="preserve">Atuação Jurisdicional </t>
  </si>
  <si>
    <t>Ampliação do Quadro Funcional de Servidores - 1º Grau</t>
  </si>
  <si>
    <t>02 / 061</t>
  </si>
  <si>
    <t>0101</t>
  </si>
  <si>
    <t>Recursos Ordinários</t>
  </si>
  <si>
    <t>1417 / 7650</t>
  </si>
  <si>
    <t>Ampliação do Quadro Funcional de Magistrados - 1º Grau</t>
  </si>
  <si>
    <t>1417 / 8158</t>
  </si>
  <si>
    <t>Ampliação do Quadro Funcional - 2º Grau</t>
  </si>
  <si>
    <t>1417 / 8176</t>
  </si>
  <si>
    <t>Implementação do Programa de Segurança e Acesso aos Prédio do Poder Judiciário - 1º Grau</t>
  </si>
  <si>
    <t>Implem. do Programa de Seg. e Acesso aos Prédio do Poder Judiciário - 1º Grau</t>
  </si>
  <si>
    <t>0301</t>
  </si>
  <si>
    <t>Recursos Ordinários - Superávit Financeiro</t>
  </si>
  <si>
    <t>1417 / 8178</t>
  </si>
  <si>
    <t>Implementação do Programa de Segurança e Acesso aos Prédio do Poder Judiciário - Apoio Indireto à Atividade Judicante</t>
  </si>
  <si>
    <t>Implem. do Programa de Seg. e Acesso aos Prédio do Poder Judiciário - Apoio</t>
  </si>
  <si>
    <t>1417 / 8726</t>
  </si>
  <si>
    <t>Implementação do Registro Civil pelos Ofícios de Cidadania</t>
  </si>
  <si>
    <t>0128</t>
  </si>
  <si>
    <t>Rec. Próp. do Fundo de Apoio ao Reg. Civil do Estado Pará</t>
  </si>
  <si>
    <t>0328</t>
  </si>
  <si>
    <t>Rec. Próp. Fundo Apoio Reg. Civil Estado - Sup. Financ.</t>
  </si>
  <si>
    <t>1421 / 6853</t>
  </si>
  <si>
    <t>Manutenção da Gestão do Poder Judiciário</t>
  </si>
  <si>
    <t>Administração de Recursos Humanos dos Servidores do Poder Judiciário - 1º Grau</t>
  </si>
  <si>
    <t>02 / 122</t>
  </si>
  <si>
    <t>0112</t>
  </si>
  <si>
    <t>Receita Patrimonial - Outros Poderes</t>
  </si>
  <si>
    <t>1421 / 6854</t>
  </si>
  <si>
    <t>Administração de Recursos Humanos dos Servidores do Poder Judiciário - 2º Grau</t>
  </si>
  <si>
    <t>1421 / 6855</t>
  </si>
  <si>
    <t>Administração de Recursos Humanos dos Servidores do Poder Judiciário - Apoio Indireto à Atividade Judicante</t>
  </si>
  <si>
    <t>Administração de Recursos Humanos dos Servidores do Poder Judiciário. - Apoio</t>
  </si>
  <si>
    <t>1421 / 8189</t>
  </si>
  <si>
    <t>Administração de Recursos Humanos da Magistratura – 1º Grau</t>
  </si>
  <si>
    <t>1421 / 8190</t>
  </si>
  <si>
    <t>Administração de Recursos Humanos da Magistratura - 2º Grau</t>
  </si>
  <si>
    <t>1421 / 8191</t>
  </si>
  <si>
    <t>Administração de Recursos Humanos dos Magistrados e Servidores do Poder Judiciário - Justiça Militar</t>
  </si>
  <si>
    <t>Administ. de Rec. Humanos dos Magist. e Servid. do Poder Judic.-Justiça Militar</t>
  </si>
  <si>
    <t>1421 / 8195</t>
  </si>
  <si>
    <t>Operacionalização das Ações Administrativas do Poder judiciário  Apoio Indireto à Atividade Judicante</t>
  </si>
  <si>
    <t xml:space="preserve">Operacionalização das Ações Administrativas do Poder Judiciário  Apoio </t>
  </si>
  <si>
    <t>1421 / 8598</t>
  </si>
  <si>
    <t>Pagamento de Obrigações Patronais dos Servidores Inativos e Pensionistas do Poder Judiciário Estadual</t>
  </si>
  <si>
    <t xml:space="preserve">Pag. de Obrig. Patronais dos Serv. Inativos e Pensionistas do Poder Judiciário Estadual </t>
  </si>
  <si>
    <t>1421 / 8719</t>
  </si>
  <si>
    <t>Pagamento de Obrigações Patronais dos Magistrados Inativos e Pensionistas do Poder Judiciário Estadual</t>
  </si>
  <si>
    <t xml:space="preserve">Pag. de Obrig. Patronais dos Mag. Inativos e Pensionistas do Poder Judiciário Estadual </t>
  </si>
  <si>
    <t>1421 / 6844</t>
  </si>
  <si>
    <t>Contribuição do Poder Judiciário ao Plano de Assistência à Saúde - 1º Grau</t>
  </si>
  <si>
    <t>02 / 302</t>
  </si>
  <si>
    <t>Contribuição do Poder Judic. ao Plano de Assistência à Saúde - 1º Grau</t>
  </si>
  <si>
    <t>1421 / 6846</t>
  </si>
  <si>
    <t>Contribuição do Poder Judiciário ao Plano de Assistência à Saúde – Apoio Indireto à Atividade Judicante</t>
  </si>
  <si>
    <t>Contribuição do Poder Judic. ao Plano de Assistência à Saúde – Apoio</t>
  </si>
  <si>
    <t>1421 / 6847</t>
  </si>
  <si>
    <t>Concessão de Auxílio Alimentação aos Servidores - 1º Grau</t>
  </si>
  <si>
    <t>02 / 331</t>
  </si>
  <si>
    <t>1421 / 6848</t>
  </si>
  <si>
    <t>Concessão de Auxílio Alimentação aos Servidores - 2º Grau</t>
  </si>
  <si>
    <t>1421 / 6849</t>
  </si>
  <si>
    <t>Concessão de Auxílio Alimentação - Apoio Indireto à Atividade Judicante</t>
  </si>
  <si>
    <t>1421 / 6850</t>
  </si>
  <si>
    <t>Concessão de Auxílio Transporte - 1º Grau</t>
  </si>
  <si>
    <t>1421 / 6851</t>
  </si>
  <si>
    <t>Concessão de Auxílio Transporte - 2º Grau</t>
  </si>
  <si>
    <t>1421 / 6852</t>
  </si>
  <si>
    <t>Concessão de Auxílio Transporte - Apoio Indireto à Atividade Judicante</t>
  </si>
  <si>
    <t>1421 / 8717</t>
  </si>
  <si>
    <t>Concessão de Auxílio Alimentação aos Magistrados - 1º Grau</t>
  </si>
  <si>
    <t>1421 / 8718</t>
  </si>
  <si>
    <t>Concessão de Auxílio Alimentação aos Magistrados - 2º Grau</t>
  </si>
  <si>
    <t>1421 / 8806</t>
  </si>
  <si>
    <t>Cidadania, Justica e Direitos Humanos</t>
  </si>
  <si>
    <t xml:space="preserve">Operacionalização do Fundo de Apoio ao Registro Civil
de Nascimento
</t>
  </si>
  <si>
    <t>08 / 422</t>
  </si>
  <si>
    <t>1500 / 8806</t>
  </si>
  <si>
    <t>Operacionalização do Fundo de Apoio ao Registro Civil de Nascimento</t>
  </si>
  <si>
    <t xml:space="preserve">Total - Unidade Orçamentária 040101 </t>
  </si>
  <si>
    <t>040102</t>
  </si>
  <si>
    <t xml:space="preserve">Fundo de Reaparelh. do Poder Judiciário </t>
  </si>
  <si>
    <t>1417 / 7638</t>
  </si>
  <si>
    <t>Implantação do Processo Judicial Eletrônico</t>
  </si>
  <si>
    <t>0118</t>
  </si>
  <si>
    <t>Rec. Próp. Fundo Reaparelhamento do  Judiciário - FRJ</t>
  </si>
  <si>
    <t>0306</t>
  </si>
  <si>
    <t>Rec. Proven. Transf. - Convênios e Outros - Superávit Financeiro</t>
  </si>
  <si>
    <t>1417 / 7639</t>
  </si>
  <si>
    <t>Ampliação da Infraestrutura Física do Poder Judiciário - 1º Grau</t>
  </si>
  <si>
    <t>0312</t>
  </si>
  <si>
    <t>Receita Patrimonial - Outros Poderes - Superávit Financeiro</t>
  </si>
  <si>
    <t>0318</t>
  </si>
  <si>
    <t>Rec. Próp. Fundo Reapar.  Judic. - FRJ - Superávit Financeiro</t>
  </si>
  <si>
    <t>1417 / 7640</t>
  </si>
  <si>
    <t>Ampliação da Infraestrutura Física do Poder Judiciário - 2º Grau</t>
  </si>
  <si>
    <t>1417 / 7641</t>
  </si>
  <si>
    <t>Ampliação da Infraestrutura Física do Poder Judiciário - Apoio Indireto à Atividade Judicante</t>
  </si>
  <si>
    <t xml:space="preserve">Ampliação da Infraestrutura Física do Poder Judiciário - Apoio </t>
  </si>
  <si>
    <t>1417 / 7651</t>
  </si>
  <si>
    <t>Modernização do Sistema de Precatórios</t>
  </si>
  <si>
    <t>1417 / 8626</t>
  </si>
  <si>
    <t>Operacionalização das Ações Voltadas à Criança e ao Adolescente</t>
  </si>
  <si>
    <t>1417 / 8628</t>
  </si>
  <si>
    <t>Implementação das Ações da Corregedoria das Comarcas da RMB e Interior</t>
  </si>
  <si>
    <t>Implementação das Ações da Corregedorias das Comarcas da RMB e Interior</t>
  </si>
  <si>
    <t>1417 / 8631</t>
  </si>
  <si>
    <t>Implementação das Ações da Justiça Criminal</t>
  </si>
  <si>
    <t>1417 / 8642</t>
  </si>
  <si>
    <t>Implementação de Ações da Área Socioambiental</t>
  </si>
  <si>
    <t>1417 / 8644</t>
  </si>
  <si>
    <t>Reforma e Manutenção de Prédios do Poder Judiciário - 1º Grau</t>
  </si>
  <si>
    <t>3</t>
  </si>
  <si>
    <t>4</t>
  </si>
  <si>
    <t>1417 / 8645</t>
  </si>
  <si>
    <t>Reforma e Manutenção de Prédios do Poder Judiciário - 2º Grau</t>
  </si>
  <si>
    <t>Rec. Próp Fundo Reaparelhamento do  Judiciário - FRJ</t>
  </si>
  <si>
    <t>1417 / 8646</t>
  </si>
  <si>
    <t>Reforma e Manutenção de Prédios do Poder Judiciário - Apoio Indireto  à Atividade Judicante</t>
  </si>
  <si>
    <t>Reforma e Manutenção de Prédios do Poder Judiciário - Apoio</t>
  </si>
  <si>
    <t>1417 / 8647</t>
  </si>
  <si>
    <t>Implem. do Programa de Segurança e Acesso aos Préd. do Poder Jud. - 1º Grau</t>
  </si>
  <si>
    <t>1419 / 8647</t>
  </si>
  <si>
    <t>Infraestrutura e Gestão de TIC</t>
  </si>
  <si>
    <t>1417 / 8648</t>
  </si>
  <si>
    <t>Implementação do Programa de Segurança e Acesso aos Prédio do Poder Judiciário - 2º Grau</t>
  </si>
  <si>
    <t>Implem. do Programa de Segurança e Acesso aos Préd. do Poder Jud. - 2º Grau</t>
  </si>
  <si>
    <t>Implem. do Programa de Segurança e Acesso aos Préd. do Poder Jud.. - 2º Grau</t>
  </si>
  <si>
    <t>1417 / 8649</t>
  </si>
  <si>
    <t xml:space="preserve">Implem. do Programa de Segurança e Acesso aos Préd. do Poder Jud. - Apoio </t>
  </si>
  <si>
    <t>1417 / 8654</t>
  </si>
  <si>
    <t>Aparelhamento das Unidades Judiciárias - 1º Grau</t>
  </si>
  <si>
    <t>0123</t>
  </si>
  <si>
    <t>Recursos Provenientes de Alienação de Bens</t>
  </si>
  <si>
    <t>0323</t>
  </si>
  <si>
    <t>Recursos Proven. de Alienação de Bens - Superávit Financeiro</t>
  </si>
  <si>
    <t>1417 / 8655</t>
  </si>
  <si>
    <t>Aparelhamento das Unidades Judiciárias - 2º Grau</t>
  </si>
  <si>
    <t>1417 / 8656</t>
  </si>
  <si>
    <t>Aparelhamento das Unidades Judiciárias - Apoio Indireto  à Atividade Judicante</t>
  </si>
  <si>
    <t>Aparelhamento das Unidades Judiciárias - Apoio Indireto  à Ativ. Judicante</t>
  </si>
  <si>
    <t>1417 / 8720</t>
  </si>
  <si>
    <t>Promoção de Ações para Resolução de Conflitos</t>
  </si>
  <si>
    <t>1417 / 8725</t>
  </si>
  <si>
    <t>Otimização da Gestão da Informação e Memória do Poder Judiciário</t>
  </si>
  <si>
    <t>1417 / 8727</t>
  </si>
  <si>
    <t>Promoção de Ações de Cidadania e Direitos</t>
  </si>
  <si>
    <t>1417 / 8722</t>
  </si>
  <si>
    <t>Promoção da Política de Saúde de Magistrados e Servidores</t>
  </si>
  <si>
    <t>1417 / 8723</t>
  </si>
  <si>
    <t xml:space="preserve">Fortalecimento da Gestão das Unidades Administrativas e Judiciais </t>
  </si>
  <si>
    <t>1421 / 8659</t>
  </si>
  <si>
    <t>Operacionalização das Ações Administrativas do Poder Judiciário - 1º Grau</t>
  </si>
  <si>
    <t>1421 / 8666</t>
  </si>
  <si>
    <t>1421 / 8667</t>
  </si>
  <si>
    <t>Administração de Recursos Humanos dos Servidores  do Poder Judiciário - 2º Grau</t>
  </si>
  <si>
    <t>1421 / 8668</t>
  </si>
  <si>
    <t>Administração de Recursos Humanos dos Servidores do Poder Judiciário - Apoio</t>
  </si>
  <si>
    <t>1421 / 8669</t>
  </si>
  <si>
    <t xml:space="preserve">Operacionalização das Ações Administrativas do Poder Judiciário - 2º Grau </t>
  </si>
  <si>
    <t>1421 / 8670</t>
  </si>
  <si>
    <t>Operacionalização das Ações Administrativas do Poder Judiciário - Apoio</t>
  </si>
  <si>
    <t>1421 / 8684</t>
  </si>
  <si>
    <t>Administ. de Rec. Humanos dos Magist. e Servid. do Poder Judic. - Justiça Militar</t>
  </si>
  <si>
    <t>1421 / 8685</t>
  </si>
  <si>
    <t>Operacionalização das Ações Administrativas da Justiça Militar</t>
  </si>
  <si>
    <t>1421 / 8716</t>
  </si>
  <si>
    <t>Operacionalização das Ações Administrativas da Escola Judicial - EJ</t>
  </si>
  <si>
    <t>1417 / 8651</t>
  </si>
  <si>
    <t>Atualização, Expansão e Manutenção da Infraestrura de Tecnologia do Poder Judiciário - 1º Grau</t>
  </si>
  <si>
    <t>02 / 126</t>
  </si>
  <si>
    <t xml:space="preserve">Atualiz., Exp. e Manut. da Infraest. de Tecnologia do Poder Judiário - 1º Grau </t>
  </si>
  <si>
    <t>1417 / 8652</t>
  </si>
  <si>
    <t>Atualização, Expansão e Manutenção da Infraestrura de Tecnologia do Poder Judiciário - 2º Grau</t>
  </si>
  <si>
    <t xml:space="preserve">Atualiz., Exp. e Manut. da Infraest. de Tecnologia do Poder Judiário - 2º Grau </t>
  </si>
  <si>
    <t>1417 / 8653</t>
  </si>
  <si>
    <t>Atualização, Expansão e Manutenção da Infraestrura de Tecnologia do Poder Judiciário - Apoio Indireto à Atividade Judicante</t>
  </si>
  <si>
    <t>Atualiz., Exp. e Manut. da Infraest. de Tecnologia do Poder Judiário - Apoio</t>
  </si>
  <si>
    <t>1417 / 8164</t>
  </si>
  <si>
    <t>Capacitação de Magistrados e Servidores - 1º Grau</t>
  </si>
  <si>
    <t>02 / 128</t>
  </si>
  <si>
    <t>1417 / 8165</t>
  </si>
  <si>
    <t>Capacitação de Magistrados e Servidores  - 2º Grau</t>
  </si>
  <si>
    <t>1417 / 8721</t>
  </si>
  <si>
    <t>Capacitação de Servidores - Apoio Indireto à Atividade Judicante</t>
  </si>
  <si>
    <t>1417 / 8724</t>
  </si>
  <si>
    <t>Participação em Eventos Institucionais</t>
  </si>
  <si>
    <t>0106</t>
  </si>
  <si>
    <t>Recursos Proven. de Transferências - Convênios e Outros</t>
  </si>
  <si>
    <t>1417 / 8639</t>
  </si>
  <si>
    <t>Fiscalização das Receitas do Fundo de Reaparelhamento do Judiciário - FRJ (FRJ)</t>
  </si>
  <si>
    <t>02 / 129</t>
  </si>
  <si>
    <t>Fiscalização das Receitas do Fundo de Reaparelhamento do Judiciário (FRJ)</t>
  </si>
  <si>
    <t>1417 / 8632</t>
  </si>
  <si>
    <t>Implementação das Ações de Comunicação e Publicidade</t>
  </si>
  <si>
    <t>02 / 131</t>
  </si>
  <si>
    <t>1421 / 8660</t>
  </si>
  <si>
    <t>Contrib. do Poder Judiciário ao Plano de Assistência à Saúde - 1º Grau</t>
  </si>
  <si>
    <t>1421 / 8661</t>
  </si>
  <si>
    <t>Contribuição do Poder Judiciário ao Plano de Assistência à Saúde - 2º Grau</t>
  </si>
  <si>
    <t>Contrib. do Poder Judiciário ao Plano de Assistência à Saúde - 2º Grau</t>
  </si>
  <si>
    <t>1421 / 8662</t>
  </si>
  <si>
    <t xml:space="preserve">Contribuição do Poder Judiciário ao Plano de Assistência à Saúde – Apoio Indireto à Atividade Judicante </t>
  </si>
  <si>
    <t>Contrib. do Poder Judiciário ao Plano de Assistência à Saúde – Apoio</t>
  </si>
  <si>
    <t>1421 / 8657</t>
  </si>
  <si>
    <t>Assistência  Médica e Odontológica</t>
  </si>
  <si>
    <t>1421 / 8663</t>
  </si>
  <si>
    <t>1421 / 8664</t>
  </si>
  <si>
    <t>1421 / 8665</t>
  </si>
  <si>
    <t>1421 / 8735</t>
  </si>
  <si>
    <t>Total - Unidade Orçamentária 040102</t>
  </si>
  <si>
    <t>Total Geral do Tribunal de Justiça</t>
  </si>
  <si>
    <t>Fonte: SIAFEM</t>
  </si>
  <si>
    <t>Legendas:</t>
  </si>
  <si>
    <t>Movimentação Líquida de Créditos: (-) Provisão Concedidas (coluna Provisão) e os Destaques Concedidos (coluna Destaque)</t>
  </si>
  <si>
    <t>Classificação Funcional: busca responder à indagação "em que" área de ação governamental a despesa será realizada (Anexo da Portaria nº 42, de 14 de abril de 1999, publicada no DOU, de 15 de abril de 1999</t>
  </si>
  <si>
    <t>Função:</t>
  </si>
  <si>
    <t>02 - Judiciária</t>
  </si>
  <si>
    <t>Subfunção:</t>
  </si>
  <si>
    <t xml:space="preserve">061 - Ação Judiciária </t>
  </si>
  <si>
    <t>128 - Formação de Recursos Humanos</t>
  </si>
  <si>
    <t>302 - Assistência Hospitalar e Ambulatorial</t>
  </si>
  <si>
    <t xml:space="preserve">08 - Assistência Social
</t>
  </si>
  <si>
    <t>122 - Administração Geral</t>
  </si>
  <si>
    <t xml:space="preserve">129 - Administração de Receitas </t>
  </si>
  <si>
    <t>331 - Proteção e Benefícios ao Trabalhador</t>
  </si>
  <si>
    <t>126 - Tecnologia da Informação</t>
  </si>
  <si>
    <t>131 - Comunicação Social</t>
  </si>
  <si>
    <t>422 - Direitos Individuais, Coletivos e Difusos</t>
  </si>
  <si>
    <t>Esfera Orçamentária: A esfera orçamentária tem por finalidade identificar se o orçamento é fiscal, da seguridade social ou de investimentos das empresas estatais, conforme disposto no § 5º do art. 165 da Constituição.</t>
  </si>
  <si>
    <t>1 - Orçamento fiscal</t>
  </si>
  <si>
    <t>2 - Orçamento da Seguridade Social</t>
  </si>
  <si>
    <t>GND - Grupo de Natureza da Despesa: É um agregador de elementos de despesas com as mesmas características quanto ao objeto do gasto</t>
  </si>
  <si>
    <t>1 - Pessoal e Encargos Sociais</t>
  </si>
  <si>
    <t>3 - Outras Despesas Correntes</t>
  </si>
  <si>
    <t>4 - Investimentos</t>
  </si>
  <si>
    <t>5 - Inversões Financeiras</t>
  </si>
  <si>
    <t>Fonte: Classificação da Receita por Fonte de Recursos: Entende-se por fonte de recursos a origem ou a procedência dos recursos que devem ser gastos com uma determinada finalidade.</t>
  </si>
  <si>
    <t>0101 - Recursos Ordinários</t>
  </si>
  <si>
    <t>0123 - Recursos Provenientes de Alienação de Bens</t>
  </si>
  <si>
    <t>0312 - Receita Patrimonial - Outros Poderes - Superávit Financeiro</t>
  </si>
  <si>
    <t>0106 - Recursos Provenientes da Transferência - Convênios e Outros</t>
  </si>
  <si>
    <t>0128 - Recursos Próprios do Fundo de Apoio ao Registro Civil do Estado</t>
  </si>
  <si>
    <t>0318 - Recursos Próprios Fundo Reaparelhamento do Judiciário - FRJ - Superávit Financeiro</t>
  </si>
  <si>
    <t>0112 - Receita Patrimonial - Outros Poderes</t>
  </si>
  <si>
    <t>0301 - Recursos Ordinários - Superávit Financeiro</t>
  </si>
  <si>
    <t>0323 - Recursos Provenientes de Alienação de Bens - Superávit Financeiro</t>
  </si>
  <si>
    <t>0118 - Recursos Próprios do Fundo de Reaparelhamento do Judiciário - FRJ</t>
  </si>
  <si>
    <t>0306 - Recursos Provenientes da Transferência - Convênios e Outros - Superávit Financeiro</t>
  </si>
  <si>
    <t>0328 - Recursos Próprios do Fundo de Apoio ao Registro Civil do Estado - Superávit Financeiro</t>
  </si>
  <si>
    <t>Obs: Nas colunas relativas à execução, não incluir as despesas referentes aos restos a pagar do ano anterior.</t>
  </si>
  <si>
    <r>
      <t>NOTA EXPLICATIVA</t>
    </r>
    <r>
      <rPr>
        <sz val="12"/>
        <rFont val="Arial"/>
        <family val="2"/>
      </rPr>
      <t>: Esclarecemos em nota, que os valores das Despesas com Pessoal informados, são os lançamentos das Folhas de março, abril e maio/2020, que só foram registrados no SIAFEM no mês de maio/2020, em função do atraso na migração dos dados processados no Sistema de Custos do TJE para o SIAFEM.</t>
    </r>
  </si>
  <si>
    <t>Data de Publicação: 20/06/2020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</si>
</sst>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_ ;[Red]\-#,##0.00\ "/>
    <numFmt numFmtId="165" formatCode="_(* #,##0.00_);_(* \(#,##0.00\);_(* &quot;-&quot;??_);_(@_)"/>
    <numFmt numFmtId="166" formatCode="0.0%"/>
  </numFmts>
  <fonts count="10" x14ac:knownFonts="1">
    <font>
      <sz val="10"/>
      <name val="Arial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4" fillId="0" borderId="0" applyFont="0" applyFill="0" applyBorder="0" applyAlignment="0" applyProtection="0"/>
    <xf numFmtId="0" fontId="4" fillId="0" borderId="0"/>
  </cellStyleXfs>
  <cellXfs count="189">
    <xf numFmtId="0" fontId="0" fillId="0" borderId="0" xfId="0"/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164" fontId="2" fillId="0" borderId="0" xfId="0" applyNumberFormat="1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3" fillId="0" borderId="12" xfId="1" applyNumberFormat="1" applyFont="1" applyFill="1" applyBorder="1" applyAlignment="1">
      <alignment horizontal="center" vertical="center" wrapText="1"/>
    </xf>
    <xf numFmtId="164" fontId="3" fillId="0" borderId="10" xfId="1" applyNumberFormat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166" fontId="3" fillId="0" borderId="9" xfId="1" applyNumberFormat="1" applyFont="1" applyFill="1" applyBorder="1" applyAlignment="1">
      <alignment horizontal="center" vertical="center" wrapText="1"/>
    </xf>
    <xf numFmtId="166" fontId="3" fillId="0" borderId="13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164" fontId="3" fillId="2" borderId="17" xfId="1" applyNumberFormat="1" applyFont="1" applyFill="1" applyBorder="1" applyAlignment="1">
      <alignment horizontal="center" vertical="center" wrapText="1"/>
    </xf>
    <xf numFmtId="166" fontId="3" fillId="2" borderId="17" xfId="1" applyNumberFormat="1" applyFont="1" applyFill="1" applyBorder="1" applyAlignment="1">
      <alignment horizontal="center" vertical="center" wrapText="1"/>
    </xf>
    <xf numFmtId="165" fontId="3" fillId="2" borderId="17" xfId="1" applyFont="1" applyFill="1" applyBorder="1" applyAlignment="1">
      <alignment horizontal="center" vertical="center" wrapText="1"/>
    </xf>
    <xf numFmtId="165" fontId="3" fillId="2" borderId="18" xfId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9" fontId="6" fillId="2" borderId="19" xfId="2" applyNumberFormat="1" applyFont="1" applyFill="1" applyBorder="1" applyAlignment="1">
      <alignment horizontal="center"/>
    </xf>
    <xf numFmtId="0" fontId="6" fillId="2" borderId="0" xfId="2" applyFont="1" applyFill="1" applyBorder="1" applyAlignment="1">
      <alignment horizontal="justify" wrapText="1"/>
    </xf>
    <xf numFmtId="49" fontId="6" fillId="2" borderId="19" xfId="2" applyNumberFormat="1" applyFont="1" applyFill="1" applyBorder="1" applyAlignment="1">
      <alignment horizontal="center" wrapText="1"/>
    </xf>
    <xf numFmtId="49" fontId="4" fillId="2" borderId="19" xfId="2" applyNumberFormat="1" applyFont="1" applyFill="1" applyBorder="1" applyAlignment="1">
      <alignment horizontal="center"/>
    </xf>
    <xf numFmtId="1" fontId="6" fillId="2" borderId="19" xfId="2" applyNumberFormat="1" applyFont="1" applyFill="1" applyBorder="1" applyAlignment="1">
      <alignment horizontal="justify" wrapText="1"/>
    </xf>
    <xf numFmtId="0" fontId="6" fillId="2" borderId="19" xfId="2" applyFont="1" applyFill="1" applyBorder="1" applyAlignment="1">
      <alignment horizontal="justify" wrapText="1"/>
    </xf>
    <xf numFmtId="0" fontId="6" fillId="2" borderId="19" xfId="2" applyFont="1" applyFill="1" applyBorder="1" applyAlignment="1">
      <alignment horizontal="center"/>
    </xf>
    <xf numFmtId="49" fontId="6" fillId="2" borderId="19" xfId="2" applyNumberFormat="1" applyFont="1" applyFill="1" applyBorder="1" applyAlignment="1">
      <alignment horizontal="justify" wrapText="1"/>
    </xf>
    <xf numFmtId="0" fontId="6" fillId="2" borderId="19" xfId="2" applyFont="1" applyFill="1" applyBorder="1" applyAlignment="1">
      <alignment horizontal="center" wrapText="1"/>
    </xf>
    <xf numFmtId="164" fontId="6" fillId="2" borderId="19" xfId="1" applyNumberFormat="1" applyFont="1" applyFill="1" applyBorder="1" applyAlignment="1"/>
    <xf numFmtId="164" fontId="6" fillId="2" borderId="0" xfId="1" applyNumberFormat="1" applyFont="1" applyFill="1" applyBorder="1" applyAlignment="1"/>
    <xf numFmtId="166" fontId="6" fillId="2" borderId="19" xfId="1" applyNumberFormat="1" applyFont="1" applyFill="1" applyBorder="1" applyAlignment="1">
      <alignment horizontal="center"/>
    </xf>
    <xf numFmtId="0" fontId="6" fillId="2" borderId="0" xfId="2" applyFont="1" applyFill="1" applyBorder="1" applyAlignment="1"/>
    <xf numFmtId="49" fontId="3" fillId="3" borderId="20" xfId="2" applyNumberFormat="1" applyFont="1" applyFill="1" applyBorder="1" applyAlignment="1">
      <alignment horizontal="center" vertical="center"/>
    </xf>
    <xf numFmtId="49" fontId="7" fillId="3" borderId="21" xfId="2" applyNumberFormat="1" applyFont="1" applyFill="1" applyBorder="1" applyAlignment="1">
      <alignment horizontal="center" vertical="center"/>
    </xf>
    <xf numFmtId="1" fontId="3" fillId="3" borderId="21" xfId="2" applyNumberFormat="1" applyFont="1" applyFill="1" applyBorder="1" applyAlignment="1">
      <alignment horizontal="justify" vertical="center" wrapText="1"/>
    </xf>
    <xf numFmtId="164" fontId="3" fillId="3" borderId="21" xfId="1" applyNumberFormat="1" applyFont="1" applyFill="1" applyBorder="1" applyAlignment="1">
      <alignment vertical="center"/>
    </xf>
    <xf numFmtId="166" fontId="3" fillId="3" borderId="21" xfId="1" applyNumberFormat="1" applyFont="1" applyFill="1" applyBorder="1" applyAlignment="1">
      <alignment horizontal="center" vertical="center"/>
    </xf>
    <xf numFmtId="166" fontId="3" fillId="3" borderId="22" xfId="1" applyNumberFormat="1" applyFont="1" applyFill="1" applyBorder="1" applyAlignment="1">
      <alignment horizontal="center" vertical="center"/>
    </xf>
    <xf numFmtId="0" fontId="3" fillId="2" borderId="0" xfId="2" applyFont="1" applyFill="1" applyBorder="1" applyAlignment="1">
      <alignment vertical="center"/>
    </xf>
    <xf numFmtId="0" fontId="3" fillId="2" borderId="0" xfId="2" applyFont="1" applyFill="1" applyAlignment="1">
      <alignment vertical="center"/>
    </xf>
    <xf numFmtId="49" fontId="6" fillId="2" borderId="23" xfId="2" applyNumberFormat="1" applyFont="1" applyFill="1" applyBorder="1" applyAlignment="1">
      <alignment horizontal="center"/>
    </xf>
    <xf numFmtId="0" fontId="6" fillId="2" borderId="11" xfId="2" applyFont="1" applyFill="1" applyBorder="1" applyAlignment="1">
      <alignment horizontal="justify" wrapText="1"/>
    </xf>
    <xf numFmtId="49" fontId="6" fillId="2" borderId="12" xfId="2" applyNumberFormat="1" applyFont="1" applyFill="1" applyBorder="1" applyAlignment="1">
      <alignment horizontal="center" wrapText="1"/>
    </xf>
    <xf numFmtId="49" fontId="4" fillId="2" borderId="12" xfId="2" applyNumberFormat="1" applyFont="1" applyFill="1" applyBorder="1" applyAlignment="1">
      <alignment horizontal="center"/>
    </xf>
    <xf numFmtId="1" fontId="6" fillId="2" borderId="12" xfId="2" applyNumberFormat="1" applyFont="1" applyFill="1" applyBorder="1" applyAlignment="1">
      <alignment horizontal="justify" wrapText="1"/>
    </xf>
    <xf numFmtId="0" fontId="6" fillId="2" borderId="12" xfId="2" applyFont="1" applyFill="1" applyBorder="1" applyAlignment="1">
      <alignment horizontal="justify" wrapText="1"/>
    </xf>
    <xf numFmtId="0" fontId="6" fillId="2" borderId="12" xfId="2" applyFont="1" applyFill="1" applyBorder="1" applyAlignment="1">
      <alignment horizontal="center"/>
    </xf>
    <xf numFmtId="49" fontId="6" fillId="2" borderId="12" xfId="2" applyNumberFormat="1" applyFont="1" applyFill="1" applyBorder="1" applyAlignment="1">
      <alignment horizontal="justify" wrapText="1"/>
    </xf>
    <xf numFmtId="0" fontId="6" fillId="2" borderId="12" xfId="2" applyFont="1" applyFill="1" applyBorder="1" applyAlignment="1">
      <alignment horizontal="center" wrapText="1"/>
    </xf>
    <xf numFmtId="164" fontId="6" fillId="2" borderId="12" xfId="1" applyNumberFormat="1" applyFont="1" applyFill="1" applyBorder="1" applyAlignment="1"/>
    <xf numFmtId="164" fontId="6" fillId="2" borderId="11" xfId="1" applyNumberFormat="1" applyFont="1" applyFill="1" applyBorder="1" applyAlignment="1"/>
    <xf numFmtId="166" fontId="6" fillId="2" borderId="12" xfId="1" applyNumberFormat="1" applyFont="1" applyFill="1" applyBorder="1" applyAlignment="1">
      <alignment horizontal="center"/>
    </xf>
    <xf numFmtId="166" fontId="6" fillId="2" borderId="24" xfId="1" applyNumberFormat="1" applyFont="1" applyFill="1" applyBorder="1" applyAlignment="1">
      <alignment horizontal="center"/>
    </xf>
    <xf numFmtId="0" fontId="6" fillId="2" borderId="0" xfId="2" applyFont="1" applyFill="1" applyAlignment="1"/>
    <xf numFmtId="49" fontId="6" fillId="2" borderId="7" xfId="2" applyNumberFormat="1" applyFont="1" applyFill="1" applyBorder="1" applyAlignment="1">
      <alignment horizontal="center"/>
    </xf>
    <xf numFmtId="0" fontId="6" fillId="2" borderId="25" xfId="2" applyFont="1" applyFill="1" applyBorder="1" applyAlignment="1">
      <alignment horizontal="justify" wrapText="1"/>
    </xf>
    <xf numFmtId="49" fontId="6" fillId="2" borderId="26" xfId="2" applyNumberFormat="1" applyFont="1" applyFill="1" applyBorder="1" applyAlignment="1">
      <alignment horizontal="center" wrapText="1"/>
    </xf>
    <xf numFmtId="49" fontId="4" fillId="2" borderId="26" xfId="2" applyNumberFormat="1" applyFont="1" applyFill="1" applyBorder="1" applyAlignment="1">
      <alignment horizontal="center"/>
    </xf>
    <xf numFmtId="1" fontId="6" fillId="2" borderId="26" xfId="2" applyNumberFormat="1" applyFont="1" applyFill="1" applyBorder="1" applyAlignment="1">
      <alignment horizontal="justify" wrapText="1"/>
    </xf>
    <xf numFmtId="0" fontId="6" fillId="2" borderId="26" xfId="2" applyFont="1" applyFill="1" applyBorder="1" applyAlignment="1">
      <alignment horizontal="justify" wrapText="1"/>
    </xf>
    <xf numFmtId="0" fontId="6" fillId="2" borderId="26" xfId="2" applyFont="1" applyFill="1" applyBorder="1" applyAlignment="1">
      <alignment horizontal="center"/>
    </xf>
    <xf numFmtId="49" fontId="6" fillId="2" borderId="26" xfId="2" applyNumberFormat="1" applyFont="1" applyFill="1" applyBorder="1" applyAlignment="1">
      <alignment horizontal="justify" wrapText="1"/>
    </xf>
    <xf numFmtId="0" fontId="6" fillId="2" borderId="26" xfId="2" applyFont="1" applyFill="1" applyBorder="1" applyAlignment="1">
      <alignment horizontal="center" wrapText="1"/>
    </xf>
    <xf numFmtId="164" fontId="6" fillId="2" borderId="26" xfId="1" applyNumberFormat="1" applyFont="1" applyFill="1" applyBorder="1" applyAlignment="1"/>
    <xf numFmtId="164" fontId="6" fillId="2" borderId="25" xfId="1" applyNumberFormat="1" applyFont="1" applyFill="1" applyBorder="1" applyAlignment="1"/>
    <xf numFmtId="166" fontId="6" fillId="2" borderId="26" xfId="1" applyNumberFormat="1" applyFont="1" applyFill="1" applyBorder="1" applyAlignment="1">
      <alignment horizontal="center"/>
    </xf>
    <xf numFmtId="166" fontId="6" fillId="2" borderId="27" xfId="1" applyNumberFormat="1" applyFont="1" applyFill="1" applyBorder="1" applyAlignment="1">
      <alignment horizontal="center"/>
    </xf>
    <xf numFmtId="49" fontId="3" fillId="3" borderId="23" xfId="2" applyNumberFormat="1" applyFont="1" applyFill="1" applyBorder="1" applyAlignment="1">
      <alignment horizontal="center" vertical="center"/>
    </xf>
    <xf numFmtId="49" fontId="7" fillId="3" borderId="12" xfId="2" applyNumberFormat="1" applyFont="1" applyFill="1" applyBorder="1" applyAlignment="1">
      <alignment horizontal="center" vertical="center"/>
    </xf>
    <xf numFmtId="1" fontId="3" fillId="3" borderId="12" xfId="2" applyNumberFormat="1" applyFont="1" applyFill="1" applyBorder="1" applyAlignment="1">
      <alignment horizontal="justify" vertical="center" wrapText="1"/>
    </xf>
    <xf numFmtId="164" fontId="3" fillId="3" borderId="12" xfId="1" applyNumberFormat="1" applyFont="1" applyFill="1" applyBorder="1" applyAlignment="1">
      <alignment vertical="center"/>
    </xf>
    <xf numFmtId="166" fontId="3" fillId="3" borderId="12" xfId="1" applyNumberFormat="1" applyFont="1" applyFill="1" applyBorder="1" applyAlignment="1">
      <alignment horizontal="center" vertical="center"/>
    </xf>
    <xf numFmtId="166" fontId="3" fillId="3" borderId="24" xfId="1" applyNumberFormat="1" applyFont="1" applyFill="1" applyBorder="1" applyAlignment="1">
      <alignment horizontal="center" vertical="center"/>
    </xf>
    <xf numFmtId="49" fontId="6" fillId="0" borderId="28" xfId="2" applyNumberFormat="1" applyFont="1" applyFill="1" applyBorder="1" applyAlignment="1">
      <alignment horizontal="center" wrapText="1"/>
    </xf>
    <xf numFmtId="49" fontId="6" fillId="0" borderId="28" xfId="2" applyNumberFormat="1" applyFont="1" applyFill="1" applyBorder="1" applyAlignment="1">
      <alignment horizontal="justify" wrapText="1"/>
    </xf>
    <xf numFmtId="49" fontId="6" fillId="2" borderId="28" xfId="2" applyNumberFormat="1" applyFont="1" applyFill="1" applyBorder="1" applyAlignment="1">
      <alignment horizontal="center" wrapText="1"/>
    </xf>
    <xf numFmtId="49" fontId="6" fillId="2" borderId="28" xfId="2" applyNumberFormat="1" applyFont="1" applyFill="1" applyBorder="1" applyAlignment="1">
      <alignment horizontal="justify" wrapText="1"/>
    </xf>
    <xf numFmtId="164" fontId="3" fillId="4" borderId="32" xfId="1" applyNumberFormat="1" applyFont="1" applyFill="1" applyBorder="1" applyAlignment="1">
      <alignment vertical="center"/>
    </xf>
    <xf numFmtId="166" fontId="3" fillId="4" borderId="32" xfId="1" applyNumberFormat="1" applyFont="1" applyFill="1" applyBorder="1" applyAlignment="1">
      <alignment horizontal="center" vertical="center"/>
    </xf>
    <xf numFmtId="166" fontId="3" fillId="4" borderId="33" xfId="1" applyNumberFormat="1" applyFont="1" applyFill="1" applyBorder="1" applyAlignment="1">
      <alignment horizontal="center" vertical="center"/>
    </xf>
    <xf numFmtId="49" fontId="6" fillId="2" borderId="34" xfId="2" applyNumberFormat="1" applyFont="1" applyFill="1" applyBorder="1" applyAlignment="1">
      <alignment horizontal="center"/>
    </xf>
    <xf numFmtId="49" fontId="4" fillId="2" borderId="11" xfId="2" applyNumberFormat="1" applyFont="1" applyFill="1" applyBorder="1" applyAlignment="1">
      <alignment horizontal="center"/>
    </xf>
    <xf numFmtId="1" fontId="6" fillId="2" borderId="11" xfId="2" applyNumberFormat="1" applyFont="1" applyFill="1" applyBorder="1" applyAlignment="1">
      <alignment horizontal="justify" wrapText="1"/>
    </xf>
    <xf numFmtId="0" fontId="6" fillId="2" borderId="11" xfId="2" applyFont="1" applyFill="1" applyBorder="1" applyAlignment="1">
      <alignment horizontal="center"/>
    </xf>
    <xf numFmtId="0" fontId="6" fillId="2" borderId="11" xfId="2" applyFont="1" applyFill="1" applyBorder="1" applyAlignment="1">
      <alignment horizontal="center" wrapText="1"/>
    </xf>
    <xf numFmtId="49" fontId="6" fillId="2" borderId="11" xfId="2" applyNumberFormat="1" applyFont="1" applyFill="1" applyBorder="1" applyAlignment="1">
      <alignment horizontal="center" wrapText="1"/>
    </xf>
    <xf numFmtId="49" fontId="6" fillId="2" borderId="11" xfId="2" applyNumberFormat="1" applyFont="1" applyFill="1" applyBorder="1" applyAlignment="1">
      <alignment horizontal="justify" wrapText="1"/>
    </xf>
    <xf numFmtId="49" fontId="3" fillId="3" borderId="34" xfId="2" applyNumberFormat="1" applyFont="1" applyFill="1" applyBorder="1" applyAlignment="1">
      <alignment horizontal="center" vertical="center"/>
    </xf>
    <xf numFmtId="49" fontId="6" fillId="0" borderId="11" xfId="2" applyNumberFormat="1" applyFont="1" applyFill="1" applyBorder="1" applyAlignment="1">
      <alignment horizontal="center" wrapText="1"/>
    </xf>
    <xf numFmtId="49" fontId="6" fillId="0" borderId="11" xfId="2" applyNumberFormat="1" applyFont="1" applyFill="1" applyBorder="1" applyAlignment="1">
      <alignment horizontal="justify" wrapText="1"/>
    </xf>
    <xf numFmtId="49" fontId="6" fillId="0" borderId="12" xfId="2" applyNumberFormat="1" applyFont="1" applyFill="1" applyBorder="1" applyAlignment="1">
      <alignment horizontal="justify" wrapText="1"/>
    </xf>
    <xf numFmtId="49" fontId="6" fillId="2" borderId="35" xfId="2" applyNumberFormat="1" applyFont="1" applyFill="1" applyBorder="1" applyAlignment="1">
      <alignment horizontal="center"/>
    </xf>
    <xf numFmtId="165" fontId="3" fillId="2" borderId="0" xfId="2" applyNumberFormat="1" applyFont="1" applyFill="1" applyBorder="1" applyAlignment="1">
      <alignment vertical="center"/>
    </xf>
    <xf numFmtId="165" fontId="6" fillId="2" borderId="0" xfId="2" applyNumberFormat="1" applyFont="1" applyFill="1" applyBorder="1" applyAlignment="1"/>
    <xf numFmtId="49" fontId="6" fillId="0" borderId="12" xfId="2" applyNumberFormat="1" applyFont="1" applyFill="1" applyBorder="1" applyAlignment="1">
      <alignment horizontal="center" wrapText="1"/>
    </xf>
    <xf numFmtId="164" fontId="3" fillId="3" borderId="11" xfId="1" applyNumberFormat="1" applyFont="1" applyFill="1" applyBorder="1" applyAlignment="1">
      <alignment vertical="center"/>
    </xf>
    <xf numFmtId="49" fontId="6" fillId="2" borderId="9" xfId="2" applyNumberFormat="1" applyFont="1" applyFill="1" applyBorder="1" applyAlignment="1">
      <alignment horizontal="center" wrapText="1"/>
    </xf>
    <xf numFmtId="1" fontId="6" fillId="2" borderId="9" xfId="2" applyNumberFormat="1" applyFont="1" applyFill="1" applyBorder="1" applyAlignment="1">
      <alignment horizontal="justify" wrapText="1"/>
    </xf>
    <xf numFmtId="0" fontId="6" fillId="2" borderId="9" xfId="2" applyFont="1" applyFill="1" applyBorder="1" applyAlignment="1">
      <alignment horizontal="justify" wrapText="1"/>
    </xf>
    <xf numFmtId="166" fontId="3" fillId="3" borderId="9" xfId="1" applyNumberFormat="1" applyFont="1" applyFill="1" applyBorder="1" applyAlignment="1">
      <alignment horizontal="center" vertical="center"/>
    </xf>
    <xf numFmtId="166" fontId="6" fillId="2" borderId="25" xfId="1" applyNumberFormat="1" applyFont="1" applyFill="1" applyBorder="1" applyAlignment="1">
      <alignment horizontal="center"/>
    </xf>
    <xf numFmtId="166" fontId="6" fillId="2" borderId="36" xfId="1" applyNumberFormat="1" applyFont="1" applyFill="1" applyBorder="1" applyAlignment="1">
      <alignment horizontal="center"/>
    </xf>
    <xf numFmtId="166" fontId="6" fillId="2" borderId="9" xfId="1" applyNumberFormat="1" applyFont="1" applyFill="1" applyBorder="1" applyAlignment="1">
      <alignment horizontal="center"/>
    </xf>
    <xf numFmtId="164" fontId="3" fillId="2" borderId="0" xfId="2" applyNumberFormat="1" applyFont="1" applyFill="1" applyBorder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165" fontId="3" fillId="0" borderId="0" xfId="1" applyFont="1" applyBorder="1"/>
    <xf numFmtId="49" fontId="3" fillId="2" borderId="0" xfId="0" applyNumberFormat="1" applyFont="1" applyFill="1" applyBorder="1" applyAlignment="1">
      <alignment horizontal="left"/>
    </xf>
    <xf numFmtId="165" fontId="3" fillId="0" borderId="0" xfId="1" quotePrefix="1" applyFont="1" applyBorder="1"/>
    <xf numFmtId="165" fontId="3" fillId="0" borderId="0" xfId="1" applyFont="1"/>
    <xf numFmtId="0" fontId="3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64" fontId="0" fillId="0" borderId="0" xfId="1" applyNumberFormat="1" applyFont="1"/>
    <xf numFmtId="165" fontId="0" fillId="0" borderId="0" xfId="1" applyFon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0" fontId="6" fillId="0" borderId="0" xfId="0" applyFont="1" applyAlignment="1">
      <alignment vertical="top" wrapText="1"/>
    </xf>
    <xf numFmtId="0" fontId="6" fillId="2" borderId="0" xfId="0" applyFont="1" applyFill="1" applyAlignment="1">
      <alignment horizontal="righ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6" fillId="2" borderId="0" xfId="0" applyFont="1" applyFill="1" applyAlignment="1">
      <alignment wrapText="1"/>
    </xf>
    <xf numFmtId="49" fontId="0" fillId="2" borderId="0" xfId="0" applyNumberFormat="1" applyFill="1" applyAlignment="1">
      <alignment horizontal="center" wrapText="1"/>
    </xf>
    <xf numFmtId="164" fontId="0" fillId="2" borderId="0" xfId="1" applyNumberFormat="1" applyFont="1" applyFill="1"/>
    <xf numFmtId="164" fontId="8" fillId="0" borderId="0" xfId="1" applyNumberFormat="1" applyFont="1"/>
    <xf numFmtId="166" fontId="0" fillId="0" borderId="0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justify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justify" wrapText="1"/>
    </xf>
    <xf numFmtId="0" fontId="0" fillId="0" borderId="0" xfId="0" applyAlignment="1">
      <alignment horizontal="center" wrapText="1"/>
    </xf>
    <xf numFmtId="166" fontId="0" fillId="0" borderId="0" xfId="1" applyNumberFormat="1" applyFont="1" applyBorder="1" applyAlignment="1">
      <alignment horizontal="center"/>
    </xf>
    <xf numFmtId="0" fontId="0" fillId="0" borderId="0" xfId="0" applyBorder="1"/>
    <xf numFmtId="164" fontId="0" fillId="0" borderId="0" xfId="1" applyNumberFormat="1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64" fontId="3" fillId="0" borderId="4" xfId="1" applyNumberFormat="1" applyFont="1" applyFill="1" applyBorder="1" applyAlignment="1">
      <alignment horizontal="center" vertical="center" wrapText="1"/>
    </xf>
    <xf numFmtId="164" fontId="3" fillId="0" borderId="11" xfId="1" applyNumberFormat="1" applyFont="1" applyFill="1" applyBorder="1" applyAlignment="1">
      <alignment horizontal="center" vertical="center" wrapText="1"/>
    </xf>
    <xf numFmtId="164" fontId="3" fillId="0" borderId="5" xfId="1" applyNumberFormat="1" applyFont="1" applyFill="1" applyBorder="1" applyAlignment="1">
      <alignment horizontal="center" vertical="center"/>
    </xf>
    <xf numFmtId="164" fontId="3" fillId="0" borderId="3" xfId="1" applyNumberFormat="1" applyFont="1" applyFill="1" applyBorder="1" applyAlignment="1">
      <alignment horizontal="center" vertical="center"/>
    </xf>
    <xf numFmtId="164" fontId="3" fillId="0" borderId="5" xfId="1" applyNumberFormat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0" fontId="3" fillId="3" borderId="5" xfId="2" applyFont="1" applyFill="1" applyBorder="1" applyAlignment="1">
      <alignment horizontal="left" vertical="center" wrapText="1"/>
    </xf>
    <xf numFmtId="0" fontId="3" fillId="3" borderId="3" xfId="2" applyFont="1" applyFill="1" applyBorder="1" applyAlignment="1">
      <alignment horizontal="left" vertical="center" wrapText="1"/>
    </xf>
    <xf numFmtId="0" fontId="3" fillId="3" borderId="2" xfId="2" applyFont="1" applyFill="1" applyBorder="1" applyAlignment="1">
      <alignment horizontal="left" vertical="center" wrapText="1"/>
    </xf>
    <xf numFmtId="0" fontId="3" fillId="3" borderId="10" xfId="2" applyFont="1" applyFill="1" applyBorder="1" applyAlignment="1">
      <alignment horizontal="left" vertical="center" wrapText="1"/>
    </xf>
    <xf numFmtId="0" fontId="3" fillId="3" borderId="8" xfId="2" applyFont="1" applyFill="1" applyBorder="1" applyAlignment="1">
      <alignment horizontal="left" vertical="center" wrapText="1"/>
    </xf>
    <xf numFmtId="0" fontId="3" fillId="3" borderId="26" xfId="2" applyFont="1" applyFill="1" applyBorder="1" applyAlignment="1">
      <alignment horizontal="left" vertical="center" wrapText="1"/>
    </xf>
    <xf numFmtId="165" fontId="3" fillId="0" borderId="5" xfId="1" applyFont="1" applyFill="1" applyBorder="1" applyAlignment="1">
      <alignment horizontal="center" vertical="center"/>
    </xf>
    <xf numFmtId="165" fontId="3" fillId="0" borderId="2" xfId="1" applyFont="1" applyFill="1" applyBorder="1" applyAlignment="1">
      <alignment horizontal="center" vertical="center"/>
    </xf>
    <xf numFmtId="165" fontId="3" fillId="0" borderId="6" xfId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4" borderId="29" xfId="2" applyNumberFormat="1" applyFont="1" applyFill="1" applyBorder="1" applyAlignment="1">
      <alignment horizontal="center" vertical="center"/>
    </xf>
    <xf numFmtId="49" fontId="3" fillId="4" borderId="30" xfId="2" applyNumberFormat="1" applyFont="1" applyFill="1" applyBorder="1" applyAlignment="1">
      <alignment horizontal="center" vertical="center"/>
    </xf>
    <xf numFmtId="49" fontId="3" fillId="4" borderId="31" xfId="2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vertical="top" wrapText="1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right" wrapText="1"/>
    </xf>
    <xf numFmtId="0" fontId="3" fillId="4" borderId="29" xfId="2" applyFont="1" applyFill="1" applyBorder="1" applyAlignment="1">
      <alignment horizontal="center" vertical="center"/>
    </xf>
    <xf numFmtId="0" fontId="3" fillId="4" borderId="30" xfId="2" applyFont="1" applyFill="1" applyBorder="1" applyAlignment="1">
      <alignment horizontal="center" vertical="center"/>
    </xf>
    <xf numFmtId="0" fontId="3" fillId="4" borderId="31" xfId="2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left"/>
    </xf>
    <xf numFmtId="49" fontId="3" fillId="2" borderId="0" xfId="0" applyNumberFormat="1" applyFont="1" applyFill="1" applyAlignment="1">
      <alignment horizontal="left"/>
    </xf>
    <xf numFmtId="0" fontId="2" fillId="0" borderId="0" xfId="0" applyFont="1" applyAlignment="1">
      <alignment horizontal="left" wrapText="1"/>
    </xf>
  </cellXfs>
  <cellStyles count="3">
    <cellStyle name="Normal" xfId="0" builtinId="0"/>
    <cellStyle name="Normal 2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Y340"/>
  <sheetViews>
    <sheetView showGridLines="0" tabSelected="1" topLeftCell="A9" zoomScaleNormal="100" workbookViewId="0">
      <pane xSplit="10" ySplit="3" topLeftCell="K318" activePane="bottomRight" state="frozen"/>
      <selection activeCell="A9" sqref="A9"/>
      <selection pane="topRight" activeCell="K9" sqref="K9"/>
      <selection pane="bottomLeft" activeCell="A12" sqref="A12"/>
      <selection pane="bottomRight" activeCell="A6" sqref="A6"/>
    </sheetView>
  </sheetViews>
  <sheetFormatPr defaultRowHeight="12.75" x14ac:dyDescent="0.2"/>
  <cols>
    <col min="1" max="1" width="6.7109375" style="139" customWidth="1"/>
    <col min="2" max="2" width="16.7109375" style="140" customWidth="1"/>
    <col min="3" max="3" width="8.5703125" style="129" customWidth="1"/>
    <col min="4" max="4" width="15.7109375" style="129" customWidth="1"/>
    <col min="5" max="5" width="15.5703125" style="140" customWidth="1"/>
    <col min="6" max="6" width="23.7109375" style="140" customWidth="1"/>
    <col min="7" max="7" width="5.7109375" style="129" customWidth="1"/>
    <col min="8" max="8" width="6.140625" style="141" customWidth="1"/>
    <col min="9" max="9" width="17.7109375" style="142" customWidth="1"/>
    <col min="10" max="10" width="4.42578125" style="143" customWidth="1"/>
    <col min="11" max="11" width="15" style="126" customWidth="1"/>
    <col min="12" max="13" width="14.140625" style="126" customWidth="1"/>
    <col min="14" max="14" width="15.42578125" style="126" customWidth="1"/>
    <col min="15" max="15" width="13.7109375" style="126" customWidth="1"/>
    <col min="16" max="17" width="14.140625" style="126" customWidth="1"/>
    <col min="18" max="18" width="15.42578125" style="126" customWidth="1"/>
    <col min="19" max="19" width="15.42578125" style="146" customWidth="1"/>
    <col min="20" max="20" width="6.7109375" style="138" customWidth="1"/>
    <col min="21" max="21" width="15.42578125" style="146" customWidth="1"/>
    <col min="22" max="22" width="6.7109375" style="138" customWidth="1"/>
    <col min="23" max="23" width="15.42578125" style="126" customWidth="1"/>
    <col min="24" max="24" width="6.7109375" style="144" customWidth="1"/>
    <col min="25" max="25" width="14" style="145" bestFit="1" customWidth="1"/>
    <col min="26" max="26" width="13.5703125" bestFit="1" customWidth="1"/>
  </cols>
  <sheetData>
    <row r="1" spans="1:25" s="2" customFormat="1" ht="15" x14ac:dyDescent="0.2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"/>
    </row>
    <row r="2" spans="1:25" s="2" customFormat="1" ht="15" x14ac:dyDescent="0.2">
      <c r="A2" s="147" t="s">
        <v>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"/>
    </row>
    <row r="3" spans="1:25" s="2" customFormat="1" ht="15" x14ac:dyDescent="0.2">
      <c r="A3" s="147" t="s">
        <v>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"/>
    </row>
    <row r="4" spans="1:25" s="2" customFormat="1" ht="15" x14ac:dyDescent="0.2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/>
      <c r="S4" s="3"/>
      <c r="T4" s="3"/>
      <c r="U4" s="3"/>
      <c r="V4" s="3"/>
      <c r="W4" s="3"/>
      <c r="X4" s="3"/>
      <c r="Y4" s="1"/>
    </row>
    <row r="5" spans="1:25" s="2" customFormat="1" ht="15" x14ac:dyDescent="0.2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/>
      <c r="S5" s="3"/>
      <c r="T5" s="3"/>
      <c r="U5" s="3"/>
      <c r="V5" s="3"/>
      <c r="W5" s="3"/>
      <c r="X5" s="3"/>
      <c r="Y5" s="1"/>
    </row>
    <row r="6" spans="1:25" s="2" customFormat="1" ht="15" x14ac:dyDescent="0.2">
      <c r="A6" s="3" t="s">
        <v>302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1"/>
    </row>
    <row r="7" spans="1:25" s="2" customFormat="1" ht="15" customHeight="1" x14ac:dyDescent="0.2">
      <c r="A7" s="148" t="s">
        <v>5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"/>
    </row>
    <row r="8" spans="1:25" s="2" customFormat="1" ht="16.5" thickBot="1" x14ac:dyDescent="0.25">
      <c r="A8" s="4"/>
      <c r="B8" s="5"/>
      <c r="C8" s="6"/>
      <c r="D8" s="6"/>
      <c r="E8" s="7"/>
      <c r="F8" s="5"/>
      <c r="G8" s="6"/>
      <c r="H8" s="6"/>
      <c r="I8" s="5"/>
      <c r="J8" s="6"/>
      <c r="K8" s="8"/>
      <c r="L8" s="8"/>
      <c r="M8" s="8"/>
      <c r="N8" s="8"/>
      <c r="O8" s="8"/>
      <c r="P8" s="8"/>
      <c r="Q8" s="8"/>
      <c r="R8" s="8"/>
      <c r="S8" s="8"/>
      <c r="T8" s="6"/>
      <c r="U8" s="8"/>
      <c r="V8" s="6"/>
      <c r="W8" s="8"/>
      <c r="X8" s="6"/>
      <c r="Y8" s="1"/>
    </row>
    <row r="9" spans="1:25" s="10" customFormat="1" ht="27" customHeight="1" x14ac:dyDescent="0.2">
      <c r="A9" s="149" t="s">
        <v>6</v>
      </c>
      <c r="B9" s="150"/>
      <c r="C9" s="150"/>
      <c r="D9" s="150"/>
      <c r="E9" s="150"/>
      <c r="F9" s="150"/>
      <c r="G9" s="150"/>
      <c r="H9" s="150"/>
      <c r="I9" s="150"/>
      <c r="J9" s="151"/>
      <c r="K9" s="152" t="s">
        <v>7</v>
      </c>
      <c r="L9" s="154" t="s">
        <v>8</v>
      </c>
      <c r="M9" s="155"/>
      <c r="N9" s="152" t="s">
        <v>9</v>
      </c>
      <c r="O9" s="152" t="s">
        <v>10</v>
      </c>
      <c r="P9" s="156" t="s">
        <v>11</v>
      </c>
      <c r="Q9" s="157"/>
      <c r="R9" s="152" t="s">
        <v>12</v>
      </c>
      <c r="S9" s="164" t="s">
        <v>13</v>
      </c>
      <c r="T9" s="165"/>
      <c r="U9" s="165"/>
      <c r="V9" s="165"/>
      <c r="W9" s="165"/>
      <c r="X9" s="166"/>
      <c r="Y9" s="9"/>
    </row>
    <row r="10" spans="1:25" s="17" customFormat="1" ht="27" customHeight="1" x14ac:dyDescent="0.2">
      <c r="A10" s="167" t="s">
        <v>14</v>
      </c>
      <c r="B10" s="168"/>
      <c r="C10" s="169" t="s">
        <v>15</v>
      </c>
      <c r="D10" s="171" t="s">
        <v>16</v>
      </c>
      <c r="E10" s="173" t="s">
        <v>17</v>
      </c>
      <c r="F10" s="168"/>
      <c r="G10" s="169" t="s">
        <v>18</v>
      </c>
      <c r="H10" s="174" t="s">
        <v>19</v>
      </c>
      <c r="I10" s="175"/>
      <c r="J10" s="169" t="s">
        <v>20</v>
      </c>
      <c r="K10" s="153"/>
      <c r="L10" s="11" t="s">
        <v>21</v>
      </c>
      <c r="M10" s="11" t="s">
        <v>22</v>
      </c>
      <c r="N10" s="153"/>
      <c r="O10" s="153"/>
      <c r="P10" s="11" t="s">
        <v>23</v>
      </c>
      <c r="Q10" s="12" t="s">
        <v>24</v>
      </c>
      <c r="R10" s="153"/>
      <c r="S10" s="13" t="s">
        <v>25</v>
      </c>
      <c r="T10" s="14" t="s">
        <v>26</v>
      </c>
      <c r="U10" s="13" t="s">
        <v>27</v>
      </c>
      <c r="V10" s="14" t="s">
        <v>26</v>
      </c>
      <c r="W10" s="13" t="s">
        <v>28</v>
      </c>
      <c r="X10" s="15" t="s">
        <v>26</v>
      </c>
      <c r="Y10" s="16"/>
    </row>
    <row r="11" spans="1:25" s="29" customFormat="1" ht="27" customHeight="1" thickBot="1" x14ac:dyDescent="0.25">
      <c r="A11" s="18" t="s">
        <v>29</v>
      </c>
      <c r="B11" s="19" t="s">
        <v>17</v>
      </c>
      <c r="C11" s="170"/>
      <c r="D11" s="172"/>
      <c r="E11" s="20" t="s">
        <v>30</v>
      </c>
      <c r="F11" s="20" t="s">
        <v>31</v>
      </c>
      <c r="G11" s="170"/>
      <c r="H11" s="21" t="s">
        <v>29</v>
      </c>
      <c r="I11" s="19" t="s">
        <v>17</v>
      </c>
      <c r="J11" s="170"/>
      <c r="K11" s="22" t="s">
        <v>32</v>
      </c>
      <c r="L11" s="23" t="s">
        <v>33</v>
      </c>
      <c r="M11" s="23" t="s">
        <v>34</v>
      </c>
      <c r="N11" s="23" t="s">
        <v>35</v>
      </c>
      <c r="O11" s="23" t="s">
        <v>36</v>
      </c>
      <c r="P11" s="24" t="s">
        <v>37</v>
      </c>
      <c r="Q11" s="24" t="s">
        <v>38</v>
      </c>
      <c r="R11" s="24" t="s">
        <v>39</v>
      </c>
      <c r="S11" s="24" t="s">
        <v>40</v>
      </c>
      <c r="T11" s="25" t="s">
        <v>41</v>
      </c>
      <c r="U11" s="24" t="s">
        <v>42</v>
      </c>
      <c r="V11" s="26" t="s">
        <v>43</v>
      </c>
      <c r="W11" s="24" t="s">
        <v>44</v>
      </c>
      <c r="X11" s="27" t="s">
        <v>45</v>
      </c>
      <c r="Y11" s="28"/>
    </row>
    <row r="12" spans="1:25" s="42" customFormat="1" ht="12" customHeight="1" thickBot="1" x14ac:dyDescent="0.25">
      <c r="A12" s="30"/>
      <c r="B12" s="31"/>
      <c r="C12" s="32"/>
      <c r="D12" s="33"/>
      <c r="E12" s="34"/>
      <c r="F12" s="35"/>
      <c r="G12" s="36"/>
      <c r="H12" s="32"/>
      <c r="I12" s="37"/>
      <c r="J12" s="38"/>
      <c r="K12" s="39"/>
      <c r="L12" s="40"/>
      <c r="M12" s="40"/>
      <c r="N12" s="39"/>
      <c r="O12" s="40"/>
      <c r="P12" s="40"/>
      <c r="Q12" s="40"/>
      <c r="R12" s="39"/>
      <c r="S12" s="40"/>
      <c r="T12" s="41"/>
      <c r="U12" s="40"/>
      <c r="V12" s="41"/>
      <c r="W12" s="40"/>
      <c r="X12" s="41"/>
    </row>
    <row r="13" spans="1:25" s="50" customFormat="1" ht="39" customHeight="1" x14ac:dyDescent="0.2">
      <c r="A13" s="43" t="s">
        <v>46</v>
      </c>
      <c r="B13" s="158" t="s">
        <v>47</v>
      </c>
      <c r="C13" s="159"/>
      <c r="D13" s="44" t="s">
        <v>48</v>
      </c>
      <c r="E13" s="45" t="s">
        <v>49</v>
      </c>
      <c r="F13" s="158" t="s">
        <v>50</v>
      </c>
      <c r="G13" s="160"/>
      <c r="H13" s="160"/>
      <c r="I13" s="160"/>
      <c r="J13" s="159"/>
      <c r="K13" s="46">
        <f>SUM(K14:K15)</f>
        <v>3078437</v>
      </c>
      <c r="L13" s="46">
        <f t="shared" ref="L13:S13" si="0">SUM(L14:L15)</f>
        <v>0</v>
      </c>
      <c r="M13" s="46">
        <f t="shared" si="0"/>
        <v>0</v>
      </c>
      <c r="N13" s="46">
        <f t="shared" si="0"/>
        <v>3078437</v>
      </c>
      <c r="O13" s="46">
        <f t="shared" si="0"/>
        <v>0</v>
      </c>
      <c r="P13" s="46">
        <f t="shared" si="0"/>
        <v>0</v>
      </c>
      <c r="Q13" s="46">
        <f t="shared" si="0"/>
        <v>0</v>
      </c>
      <c r="R13" s="46">
        <f t="shared" si="0"/>
        <v>3078437</v>
      </c>
      <c r="S13" s="46">
        <f t="shared" si="0"/>
        <v>0</v>
      </c>
      <c r="T13" s="47">
        <f>S13/R13</f>
        <v>0</v>
      </c>
      <c r="U13" s="46">
        <f>SUM(U14:U15)</f>
        <v>0</v>
      </c>
      <c r="V13" s="47">
        <f>U13/R13</f>
        <v>0</v>
      </c>
      <c r="W13" s="46">
        <f>SUM(W14:W15)</f>
        <v>0</v>
      </c>
      <c r="X13" s="48">
        <f>W13/R13</f>
        <v>0</v>
      </c>
      <c r="Y13" s="49"/>
    </row>
    <row r="14" spans="1:25" s="64" customFormat="1" ht="39" customHeight="1" x14ac:dyDescent="0.2">
      <c r="A14" s="51" t="s">
        <v>46</v>
      </c>
      <c r="B14" s="52" t="s">
        <v>47</v>
      </c>
      <c r="C14" s="53" t="s">
        <v>51</v>
      </c>
      <c r="D14" s="54" t="s">
        <v>48</v>
      </c>
      <c r="E14" s="55" t="s">
        <v>49</v>
      </c>
      <c r="F14" s="56" t="s">
        <v>50</v>
      </c>
      <c r="G14" s="57">
        <v>1</v>
      </c>
      <c r="H14" s="53" t="s">
        <v>52</v>
      </c>
      <c r="I14" s="58" t="s">
        <v>53</v>
      </c>
      <c r="J14" s="59">
        <v>1</v>
      </c>
      <c r="K14" s="60">
        <v>2648875</v>
      </c>
      <c r="L14" s="61">
        <v>0</v>
      </c>
      <c r="M14" s="61">
        <v>0</v>
      </c>
      <c r="N14" s="60">
        <f t="shared" ref="N14:N82" si="1">K14+L14-M14</f>
        <v>2648875</v>
      </c>
      <c r="O14" s="61">
        <v>0</v>
      </c>
      <c r="P14" s="61">
        <v>0</v>
      </c>
      <c r="Q14" s="61">
        <v>0</v>
      </c>
      <c r="R14" s="60">
        <f t="shared" ref="R14:R112" si="2">N14-O14+P14+Q14</f>
        <v>2648875</v>
      </c>
      <c r="S14" s="61">
        <v>0</v>
      </c>
      <c r="T14" s="62">
        <f>S14/R14</f>
        <v>0</v>
      </c>
      <c r="U14" s="61">
        <v>0</v>
      </c>
      <c r="V14" s="62">
        <f t="shared" ref="V14:V15" si="3">U14/R14</f>
        <v>0</v>
      </c>
      <c r="W14" s="61">
        <v>0</v>
      </c>
      <c r="X14" s="63">
        <f t="shared" ref="X14:X15" si="4">W14/R14</f>
        <v>0</v>
      </c>
      <c r="Y14" s="42"/>
    </row>
    <row r="15" spans="1:25" s="64" customFormat="1" ht="39" customHeight="1" x14ac:dyDescent="0.2">
      <c r="A15" s="51" t="s">
        <v>46</v>
      </c>
      <c r="B15" s="52" t="s">
        <v>47</v>
      </c>
      <c r="C15" s="53" t="s">
        <v>51</v>
      </c>
      <c r="D15" s="54" t="s">
        <v>48</v>
      </c>
      <c r="E15" s="55" t="s">
        <v>49</v>
      </c>
      <c r="F15" s="56" t="s">
        <v>50</v>
      </c>
      <c r="G15" s="57">
        <v>1</v>
      </c>
      <c r="H15" s="53" t="s">
        <v>52</v>
      </c>
      <c r="I15" s="58" t="s">
        <v>53</v>
      </c>
      <c r="J15" s="59">
        <v>3</v>
      </c>
      <c r="K15" s="60">
        <v>429562</v>
      </c>
      <c r="L15" s="61">
        <v>0</v>
      </c>
      <c r="M15" s="61">
        <v>0</v>
      </c>
      <c r="N15" s="60">
        <f t="shared" si="1"/>
        <v>429562</v>
      </c>
      <c r="O15" s="61">
        <v>0</v>
      </c>
      <c r="P15" s="61">
        <v>0</v>
      </c>
      <c r="Q15" s="61">
        <v>0</v>
      </c>
      <c r="R15" s="60">
        <f t="shared" si="2"/>
        <v>429562</v>
      </c>
      <c r="S15" s="61">
        <v>0</v>
      </c>
      <c r="T15" s="62">
        <f>S15/R15</f>
        <v>0</v>
      </c>
      <c r="U15" s="61">
        <v>0</v>
      </c>
      <c r="V15" s="62">
        <f t="shared" si="3"/>
        <v>0</v>
      </c>
      <c r="W15" s="61">
        <v>0</v>
      </c>
      <c r="X15" s="63">
        <f t="shared" si="4"/>
        <v>0</v>
      </c>
      <c r="Y15" s="42"/>
    </row>
    <row r="16" spans="1:25" s="42" customFormat="1" ht="9" customHeight="1" x14ac:dyDescent="0.2">
      <c r="A16" s="65"/>
      <c r="B16" s="66"/>
      <c r="C16" s="67"/>
      <c r="D16" s="68"/>
      <c r="E16" s="69"/>
      <c r="F16" s="70"/>
      <c r="G16" s="71"/>
      <c r="H16" s="67"/>
      <c r="I16" s="72"/>
      <c r="J16" s="73"/>
      <c r="K16" s="74"/>
      <c r="L16" s="75"/>
      <c r="M16" s="75"/>
      <c r="N16" s="74"/>
      <c r="O16" s="75"/>
      <c r="P16" s="75"/>
      <c r="Q16" s="75"/>
      <c r="R16" s="74"/>
      <c r="S16" s="75"/>
      <c r="T16" s="76"/>
      <c r="U16" s="75"/>
      <c r="V16" s="76"/>
      <c r="W16" s="75"/>
      <c r="X16" s="77"/>
    </row>
    <row r="17" spans="1:25" s="50" customFormat="1" ht="39" customHeight="1" x14ac:dyDescent="0.2">
      <c r="A17" s="78" t="s">
        <v>46</v>
      </c>
      <c r="B17" s="161" t="s">
        <v>47</v>
      </c>
      <c r="C17" s="162"/>
      <c r="D17" s="79" t="s">
        <v>54</v>
      </c>
      <c r="E17" s="80" t="s">
        <v>49</v>
      </c>
      <c r="F17" s="161" t="s">
        <v>55</v>
      </c>
      <c r="G17" s="163"/>
      <c r="H17" s="163"/>
      <c r="I17" s="163"/>
      <c r="J17" s="162"/>
      <c r="K17" s="81">
        <f>SUM(K18:K19)</f>
        <v>7067084</v>
      </c>
      <c r="L17" s="81">
        <f t="shared" ref="L17:S17" si="5">SUM(L18:L19)</f>
        <v>0</v>
      </c>
      <c r="M17" s="81">
        <f t="shared" si="5"/>
        <v>0</v>
      </c>
      <c r="N17" s="81">
        <f t="shared" si="5"/>
        <v>7067084</v>
      </c>
      <c r="O17" s="81">
        <f t="shared" si="5"/>
        <v>0</v>
      </c>
      <c r="P17" s="81">
        <f t="shared" si="5"/>
        <v>0</v>
      </c>
      <c r="Q17" s="81">
        <f t="shared" si="5"/>
        <v>0</v>
      </c>
      <c r="R17" s="81">
        <f t="shared" si="5"/>
        <v>7067084</v>
      </c>
      <c r="S17" s="81">
        <f t="shared" si="5"/>
        <v>0</v>
      </c>
      <c r="T17" s="82">
        <f>S17/R17</f>
        <v>0</v>
      </c>
      <c r="U17" s="81">
        <f>SUM(U18:U19)</f>
        <v>0</v>
      </c>
      <c r="V17" s="82">
        <f>U17/R17</f>
        <v>0</v>
      </c>
      <c r="W17" s="81">
        <f>SUM(W18:W19)</f>
        <v>0</v>
      </c>
      <c r="X17" s="83">
        <f>W17/R17</f>
        <v>0</v>
      </c>
      <c r="Y17" s="49"/>
    </row>
    <row r="18" spans="1:25" s="64" customFormat="1" ht="39" customHeight="1" x14ac:dyDescent="0.2">
      <c r="A18" s="51" t="s">
        <v>46</v>
      </c>
      <c r="B18" s="52" t="s">
        <v>47</v>
      </c>
      <c r="C18" s="53" t="s">
        <v>51</v>
      </c>
      <c r="D18" s="54" t="s">
        <v>54</v>
      </c>
      <c r="E18" s="55" t="s">
        <v>49</v>
      </c>
      <c r="F18" s="56" t="s">
        <v>55</v>
      </c>
      <c r="G18" s="57">
        <v>1</v>
      </c>
      <c r="H18" s="53" t="s">
        <v>52</v>
      </c>
      <c r="I18" s="58" t="s">
        <v>53</v>
      </c>
      <c r="J18" s="59">
        <v>1</v>
      </c>
      <c r="K18" s="60">
        <v>6833178</v>
      </c>
      <c r="L18" s="61">
        <v>0</v>
      </c>
      <c r="M18" s="61">
        <v>0</v>
      </c>
      <c r="N18" s="60">
        <f t="shared" ref="N18:N19" si="6">K18+L18-M18</f>
        <v>6833178</v>
      </c>
      <c r="O18" s="61">
        <v>0</v>
      </c>
      <c r="P18" s="61">
        <v>0</v>
      </c>
      <c r="Q18" s="61">
        <v>0</v>
      </c>
      <c r="R18" s="60">
        <f t="shared" ref="R18:R19" si="7">N18-O18+P18+Q18</f>
        <v>6833178</v>
      </c>
      <c r="S18" s="61">
        <v>0</v>
      </c>
      <c r="T18" s="62">
        <f>S18/R18</f>
        <v>0</v>
      </c>
      <c r="U18" s="61">
        <v>0</v>
      </c>
      <c r="V18" s="62">
        <f t="shared" ref="V18:V19" si="8">U18/R18</f>
        <v>0</v>
      </c>
      <c r="W18" s="61">
        <v>0</v>
      </c>
      <c r="X18" s="63">
        <f t="shared" ref="X18:X19" si="9">W18/R18</f>
        <v>0</v>
      </c>
      <c r="Y18" s="42"/>
    </row>
    <row r="19" spans="1:25" s="64" customFormat="1" ht="39" customHeight="1" x14ac:dyDescent="0.2">
      <c r="A19" s="51" t="s">
        <v>46</v>
      </c>
      <c r="B19" s="52" t="s">
        <v>47</v>
      </c>
      <c r="C19" s="53" t="s">
        <v>51</v>
      </c>
      <c r="D19" s="54" t="s">
        <v>54</v>
      </c>
      <c r="E19" s="55" t="s">
        <v>49</v>
      </c>
      <c r="F19" s="56" t="s">
        <v>55</v>
      </c>
      <c r="G19" s="57">
        <v>1</v>
      </c>
      <c r="H19" s="53" t="s">
        <v>52</v>
      </c>
      <c r="I19" s="58" t="s">
        <v>53</v>
      </c>
      <c r="J19" s="59">
        <v>3</v>
      </c>
      <c r="K19" s="60">
        <v>233906</v>
      </c>
      <c r="L19" s="61">
        <v>0</v>
      </c>
      <c r="M19" s="61">
        <v>0</v>
      </c>
      <c r="N19" s="60">
        <f t="shared" si="6"/>
        <v>233906</v>
      </c>
      <c r="O19" s="61">
        <v>0</v>
      </c>
      <c r="P19" s="61">
        <v>0</v>
      </c>
      <c r="Q19" s="61">
        <v>0</v>
      </c>
      <c r="R19" s="60">
        <f t="shared" si="7"/>
        <v>233906</v>
      </c>
      <c r="S19" s="61">
        <v>0</v>
      </c>
      <c r="T19" s="62">
        <f>S19/R19</f>
        <v>0</v>
      </c>
      <c r="U19" s="61">
        <v>0</v>
      </c>
      <c r="V19" s="62">
        <f t="shared" si="8"/>
        <v>0</v>
      </c>
      <c r="W19" s="61">
        <v>0</v>
      </c>
      <c r="X19" s="63">
        <f t="shared" si="9"/>
        <v>0</v>
      </c>
      <c r="Y19" s="42"/>
    </row>
    <row r="20" spans="1:25" s="42" customFormat="1" ht="9" customHeight="1" x14ac:dyDescent="0.2">
      <c r="A20" s="65"/>
      <c r="B20" s="66"/>
      <c r="C20" s="67"/>
      <c r="D20" s="68"/>
      <c r="E20" s="69"/>
      <c r="F20" s="70"/>
      <c r="G20" s="71"/>
      <c r="H20" s="67"/>
      <c r="I20" s="72"/>
      <c r="J20" s="73"/>
      <c r="K20" s="74"/>
      <c r="L20" s="75"/>
      <c r="M20" s="75"/>
      <c r="N20" s="74"/>
      <c r="O20" s="75"/>
      <c r="P20" s="75"/>
      <c r="Q20" s="75"/>
      <c r="R20" s="74"/>
      <c r="S20" s="75"/>
      <c r="T20" s="76"/>
      <c r="U20" s="75"/>
      <c r="V20" s="76"/>
      <c r="W20" s="75"/>
      <c r="X20" s="77"/>
    </row>
    <row r="21" spans="1:25" s="50" customFormat="1" ht="39" customHeight="1" x14ac:dyDescent="0.2">
      <c r="A21" s="78" t="s">
        <v>46</v>
      </c>
      <c r="B21" s="161" t="s">
        <v>47</v>
      </c>
      <c r="C21" s="162"/>
      <c r="D21" s="79" t="s">
        <v>56</v>
      </c>
      <c r="E21" s="80" t="s">
        <v>49</v>
      </c>
      <c r="F21" s="161" t="s">
        <v>57</v>
      </c>
      <c r="G21" s="163"/>
      <c r="H21" s="163"/>
      <c r="I21" s="163"/>
      <c r="J21" s="162"/>
      <c r="K21" s="81">
        <f>SUM(K22:K23)</f>
        <v>783914</v>
      </c>
      <c r="L21" s="81">
        <f t="shared" ref="L21:S21" si="10">SUM(L22:L23)</f>
        <v>0</v>
      </c>
      <c r="M21" s="81">
        <f t="shared" si="10"/>
        <v>0</v>
      </c>
      <c r="N21" s="81">
        <f t="shared" si="10"/>
        <v>783914</v>
      </c>
      <c r="O21" s="81">
        <f t="shared" si="10"/>
        <v>0</v>
      </c>
      <c r="P21" s="81">
        <f t="shared" si="10"/>
        <v>0</v>
      </c>
      <c r="Q21" s="81">
        <f t="shared" si="10"/>
        <v>0</v>
      </c>
      <c r="R21" s="81">
        <f t="shared" si="10"/>
        <v>783914</v>
      </c>
      <c r="S21" s="81">
        <f t="shared" si="10"/>
        <v>0</v>
      </c>
      <c r="T21" s="82">
        <f>S21/R21</f>
        <v>0</v>
      </c>
      <c r="U21" s="81">
        <f>SUM(U22:U23)</f>
        <v>0</v>
      </c>
      <c r="V21" s="82">
        <f>U21/R21</f>
        <v>0</v>
      </c>
      <c r="W21" s="81">
        <f>SUM(W22:W23)</f>
        <v>0</v>
      </c>
      <c r="X21" s="83">
        <f>W21/R21</f>
        <v>0</v>
      </c>
      <c r="Y21" s="49"/>
    </row>
    <row r="22" spans="1:25" s="64" customFormat="1" ht="39" customHeight="1" x14ac:dyDescent="0.2">
      <c r="A22" s="51" t="s">
        <v>46</v>
      </c>
      <c r="B22" s="52" t="s">
        <v>47</v>
      </c>
      <c r="C22" s="53" t="s">
        <v>51</v>
      </c>
      <c r="D22" s="54" t="s">
        <v>56</v>
      </c>
      <c r="E22" s="55" t="s">
        <v>49</v>
      </c>
      <c r="F22" s="56" t="s">
        <v>57</v>
      </c>
      <c r="G22" s="57">
        <v>1</v>
      </c>
      <c r="H22" s="53" t="s">
        <v>52</v>
      </c>
      <c r="I22" s="58" t="s">
        <v>53</v>
      </c>
      <c r="J22" s="59">
        <v>1</v>
      </c>
      <c r="K22" s="60">
        <v>717326</v>
      </c>
      <c r="L22" s="61">
        <v>0</v>
      </c>
      <c r="M22" s="61">
        <v>0</v>
      </c>
      <c r="N22" s="60">
        <f t="shared" si="1"/>
        <v>717326</v>
      </c>
      <c r="O22" s="61">
        <v>0</v>
      </c>
      <c r="P22" s="61">
        <v>0</v>
      </c>
      <c r="Q22" s="61">
        <v>0</v>
      </c>
      <c r="R22" s="60">
        <f t="shared" si="2"/>
        <v>717326</v>
      </c>
      <c r="S22" s="61">
        <v>0</v>
      </c>
      <c r="T22" s="62">
        <f>S22/R22</f>
        <v>0</v>
      </c>
      <c r="U22" s="61">
        <v>0</v>
      </c>
      <c r="V22" s="62">
        <f t="shared" ref="V22:V103" si="11">U22/R22</f>
        <v>0</v>
      </c>
      <c r="W22" s="61">
        <v>0</v>
      </c>
      <c r="X22" s="63">
        <f t="shared" ref="X22:X103" si="12">W22/R22</f>
        <v>0</v>
      </c>
      <c r="Y22" s="42"/>
    </row>
    <row r="23" spans="1:25" s="64" customFormat="1" ht="39" customHeight="1" x14ac:dyDescent="0.2">
      <c r="A23" s="51" t="s">
        <v>46</v>
      </c>
      <c r="B23" s="52" t="s">
        <v>47</v>
      </c>
      <c r="C23" s="53" t="s">
        <v>51</v>
      </c>
      <c r="D23" s="54" t="s">
        <v>56</v>
      </c>
      <c r="E23" s="55" t="s">
        <v>49</v>
      </c>
      <c r="F23" s="56" t="s">
        <v>57</v>
      </c>
      <c r="G23" s="57">
        <v>1</v>
      </c>
      <c r="H23" s="53" t="s">
        <v>52</v>
      </c>
      <c r="I23" s="58" t="s">
        <v>53</v>
      </c>
      <c r="J23" s="59">
        <v>3</v>
      </c>
      <c r="K23" s="60">
        <v>66588</v>
      </c>
      <c r="L23" s="61">
        <v>0</v>
      </c>
      <c r="M23" s="61">
        <v>0</v>
      </c>
      <c r="N23" s="60">
        <f t="shared" si="1"/>
        <v>66588</v>
      </c>
      <c r="O23" s="61">
        <v>0</v>
      </c>
      <c r="P23" s="61">
        <v>0</v>
      </c>
      <c r="Q23" s="61">
        <v>0</v>
      </c>
      <c r="R23" s="60">
        <f t="shared" si="2"/>
        <v>66588</v>
      </c>
      <c r="S23" s="61">
        <v>0</v>
      </c>
      <c r="T23" s="62">
        <f>S23/R23</f>
        <v>0</v>
      </c>
      <c r="U23" s="61">
        <v>0</v>
      </c>
      <c r="V23" s="62">
        <f t="shared" si="11"/>
        <v>0</v>
      </c>
      <c r="W23" s="61">
        <v>0</v>
      </c>
      <c r="X23" s="63">
        <f t="shared" si="12"/>
        <v>0</v>
      </c>
      <c r="Y23" s="42"/>
    </row>
    <row r="24" spans="1:25" s="42" customFormat="1" ht="9" customHeight="1" x14ac:dyDescent="0.2">
      <c r="A24" s="65"/>
      <c r="B24" s="66"/>
      <c r="C24" s="67"/>
      <c r="D24" s="68"/>
      <c r="E24" s="69"/>
      <c r="F24" s="70"/>
      <c r="G24" s="71"/>
      <c r="H24" s="67"/>
      <c r="I24" s="72"/>
      <c r="J24" s="73"/>
      <c r="K24" s="74"/>
      <c r="L24" s="75"/>
      <c r="M24" s="75"/>
      <c r="N24" s="74"/>
      <c r="O24" s="75"/>
      <c r="P24" s="75"/>
      <c r="Q24" s="75"/>
      <c r="R24" s="74"/>
      <c r="S24" s="75"/>
      <c r="T24" s="76"/>
      <c r="U24" s="75"/>
      <c r="V24" s="76"/>
      <c r="W24" s="75"/>
      <c r="X24" s="77"/>
    </row>
    <row r="25" spans="1:25" s="50" customFormat="1" ht="39" customHeight="1" x14ac:dyDescent="0.2">
      <c r="A25" s="78" t="s">
        <v>46</v>
      </c>
      <c r="B25" s="161" t="s">
        <v>47</v>
      </c>
      <c r="C25" s="162"/>
      <c r="D25" s="79" t="s">
        <v>58</v>
      </c>
      <c r="E25" s="80" t="s">
        <v>49</v>
      </c>
      <c r="F25" s="161" t="s">
        <v>59</v>
      </c>
      <c r="G25" s="163"/>
      <c r="H25" s="163"/>
      <c r="I25" s="163"/>
      <c r="J25" s="162"/>
      <c r="K25" s="81">
        <f>SUM(K26:K27)</f>
        <v>2600000</v>
      </c>
      <c r="L25" s="81">
        <f t="shared" ref="L25:S25" si="13">SUM(L26:L27)</f>
        <v>699092.98</v>
      </c>
      <c r="M25" s="81">
        <f t="shared" si="13"/>
        <v>0</v>
      </c>
      <c r="N25" s="81">
        <f t="shared" si="13"/>
        <v>3299092.98</v>
      </c>
      <c r="O25" s="81">
        <f t="shared" si="13"/>
        <v>699092.98</v>
      </c>
      <c r="P25" s="81">
        <f t="shared" si="13"/>
        <v>0</v>
      </c>
      <c r="Q25" s="81">
        <f t="shared" si="13"/>
        <v>-747422.7699999999</v>
      </c>
      <c r="R25" s="81">
        <f t="shared" si="13"/>
        <v>1852577.23</v>
      </c>
      <c r="S25" s="81">
        <f t="shared" si="13"/>
        <v>0</v>
      </c>
      <c r="T25" s="82">
        <f>S25/R25</f>
        <v>0</v>
      </c>
      <c r="U25" s="81">
        <f>SUM(U26:U27)</f>
        <v>0</v>
      </c>
      <c r="V25" s="82">
        <f>U25/R25</f>
        <v>0</v>
      </c>
      <c r="W25" s="81">
        <f>SUM(W26:W27)</f>
        <v>0</v>
      </c>
      <c r="X25" s="83">
        <f>W25/R25</f>
        <v>0</v>
      </c>
      <c r="Y25" s="49"/>
    </row>
    <row r="26" spans="1:25" s="64" customFormat="1" ht="39" customHeight="1" x14ac:dyDescent="0.2">
      <c r="A26" s="51" t="s">
        <v>46</v>
      </c>
      <c r="B26" s="52" t="s">
        <v>47</v>
      </c>
      <c r="C26" s="53" t="s">
        <v>51</v>
      </c>
      <c r="D26" s="54" t="s">
        <v>58</v>
      </c>
      <c r="E26" s="55" t="s">
        <v>49</v>
      </c>
      <c r="F26" s="56" t="s">
        <v>60</v>
      </c>
      <c r="G26" s="57">
        <v>1</v>
      </c>
      <c r="H26" s="53" t="s">
        <v>52</v>
      </c>
      <c r="I26" s="58" t="s">
        <v>53</v>
      </c>
      <c r="J26" s="59">
        <v>1</v>
      </c>
      <c r="K26" s="60">
        <v>2600000</v>
      </c>
      <c r="L26" s="61">
        <v>0</v>
      </c>
      <c r="M26" s="61">
        <v>0</v>
      </c>
      <c r="N26" s="60">
        <f t="shared" ref="N26:N27" si="14">K26+L26-M26</f>
        <v>2600000</v>
      </c>
      <c r="O26" s="61">
        <v>0</v>
      </c>
      <c r="P26" s="61">
        <v>0</v>
      </c>
      <c r="Q26" s="61">
        <f>-148771.72-139252.61-157488.76-151707.58-150202.1</f>
        <v>-747422.7699999999</v>
      </c>
      <c r="R26" s="60">
        <f t="shared" ref="R26:R27" si="15">N26-O26+P26+Q26</f>
        <v>1852577.23</v>
      </c>
      <c r="S26" s="61">
        <v>0</v>
      </c>
      <c r="T26" s="62">
        <f>S26/R26</f>
        <v>0</v>
      </c>
      <c r="U26" s="61">
        <v>0</v>
      </c>
      <c r="V26" s="62">
        <f t="shared" ref="V26" si="16">U26/R26</f>
        <v>0</v>
      </c>
      <c r="W26" s="61">
        <v>0</v>
      </c>
      <c r="X26" s="63">
        <f t="shared" ref="X26" si="17">W26/R26</f>
        <v>0</v>
      </c>
      <c r="Y26" s="42"/>
    </row>
    <row r="27" spans="1:25" s="64" customFormat="1" ht="39" customHeight="1" x14ac:dyDescent="0.2">
      <c r="A27" s="51" t="s">
        <v>46</v>
      </c>
      <c r="B27" s="52" t="s">
        <v>47</v>
      </c>
      <c r="C27" s="53" t="s">
        <v>51</v>
      </c>
      <c r="D27" s="54" t="s">
        <v>58</v>
      </c>
      <c r="E27" s="55" t="s">
        <v>49</v>
      </c>
      <c r="F27" s="56" t="s">
        <v>60</v>
      </c>
      <c r="G27" s="57">
        <v>1</v>
      </c>
      <c r="H27" s="84" t="s">
        <v>61</v>
      </c>
      <c r="I27" s="85" t="s">
        <v>62</v>
      </c>
      <c r="J27" s="59">
        <v>1</v>
      </c>
      <c r="K27" s="60">
        <v>0</v>
      </c>
      <c r="L27" s="61">
        <v>699092.98</v>
      </c>
      <c r="M27" s="61">
        <v>0</v>
      </c>
      <c r="N27" s="60">
        <f t="shared" si="14"/>
        <v>699092.98</v>
      </c>
      <c r="O27" s="61">
        <f>699092.98</f>
        <v>699092.98</v>
      </c>
      <c r="P27" s="61">
        <v>0</v>
      </c>
      <c r="Q27" s="61">
        <v>0</v>
      </c>
      <c r="R27" s="60">
        <f t="shared" si="15"/>
        <v>0</v>
      </c>
      <c r="S27" s="61">
        <v>0</v>
      </c>
      <c r="T27" s="62">
        <v>0</v>
      </c>
      <c r="U27" s="61">
        <v>0</v>
      </c>
      <c r="V27" s="62">
        <v>0</v>
      </c>
      <c r="W27" s="61">
        <v>0</v>
      </c>
      <c r="X27" s="63">
        <v>0</v>
      </c>
      <c r="Y27" s="42"/>
    </row>
    <row r="28" spans="1:25" s="42" customFormat="1" ht="9" customHeight="1" x14ac:dyDescent="0.2">
      <c r="A28" s="65"/>
      <c r="B28" s="66"/>
      <c r="C28" s="67"/>
      <c r="D28" s="68"/>
      <c r="E28" s="69"/>
      <c r="F28" s="70"/>
      <c r="G28" s="71"/>
      <c r="H28" s="67"/>
      <c r="I28" s="72"/>
      <c r="J28" s="73"/>
      <c r="K28" s="74"/>
      <c r="L28" s="75"/>
      <c r="M28" s="75"/>
      <c r="N28" s="74"/>
      <c r="O28" s="75"/>
      <c r="P28" s="75"/>
      <c r="Q28" s="75"/>
      <c r="R28" s="74"/>
      <c r="S28" s="75"/>
      <c r="T28" s="76"/>
      <c r="U28" s="75"/>
      <c r="V28" s="76"/>
      <c r="W28" s="75"/>
      <c r="X28" s="77"/>
    </row>
    <row r="29" spans="1:25" s="50" customFormat="1" ht="39" customHeight="1" x14ac:dyDescent="0.2">
      <c r="A29" s="78" t="s">
        <v>46</v>
      </c>
      <c r="B29" s="161" t="s">
        <v>47</v>
      </c>
      <c r="C29" s="162"/>
      <c r="D29" s="79" t="s">
        <v>63</v>
      </c>
      <c r="E29" s="80" t="s">
        <v>49</v>
      </c>
      <c r="F29" s="161" t="s">
        <v>64</v>
      </c>
      <c r="G29" s="163"/>
      <c r="H29" s="163"/>
      <c r="I29" s="163"/>
      <c r="J29" s="162"/>
      <c r="K29" s="81">
        <f>SUM(K30:K31)</f>
        <v>866000</v>
      </c>
      <c r="L29" s="81">
        <f t="shared" ref="L29:S29" si="18">SUM(L30:L31)</f>
        <v>364370.73</v>
      </c>
      <c r="M29" s="81">
        <f t="shared" si="18"/>
        <v>0</v>
      </c>
      <c r="N29" s="81">
        <f t="shared" si="18"/>
        <v>1230370.73</v>
      </c>
      <c r="O29" s="81">
        <f t="shared" si="18"/>
        <v>364370.73</v>
      </c>
      <c r="P29" s="81">
        <f t="shared" si="18"/>
        <v>0</v>
      </c>
      <c r="Q29" s="81">
        <f t="shared" si="18"/>
        <v>-399113.64</v>
      </c>
      <c r="R29" s="81">
        <f t="shared" si="18"/>
        <v>466886.36</v>
      </c>
      <c r="S29" s="81">
        <f t="shared" si="18"/>
        <v>0</v>
      </c>
      <c r="T29" s="82">
        <f>S29/R29</f>
        <v>0</v>
      </c>
      <c r="U29" s="81">
        <f>SUM(U30:U31)</f>
        <v>0</v>
      </c>
      <c r="V29" s="82">
        <f>U29/R29</f>
        <v>0</v>
      </c>
      <c r="W29" s="81">
        <f>SUM(W30:W31)</f>
        <v>0</v>
      </c>
      <c r="X29" s="83">
        <f>W29/R29</f>
        <v>0</v>
      </c>
      <c r="Y29" s="49"/>
    </row>
    <row r="30" spans="1:25" s="64" customFormat="1" ht="39" customHeight="1" x14ac:dyDescent="0.2">
      <c r="A30" s="51" t="s">
        <v>46</v>
      </c>
      <c r="B30" s="52" t="s">
        <v>47</v>
      </c>
      <c r="C30" s="53" t="s">
        <v>51</v>
      </c>
      <c r="D30" s="54" t="s">
        <v>63</v>
      </c>
      <c r="E30" s="55" t="s">
        <v>49</v>
      </c>
      <c r="F30" s="56" t="s">
        <v>65</v>
      </c>
      <c r="G30" s="57">
        <v>1</v>
      </c>
      <c r="H30" s="53" t="s">
        <v>52</v>
      </c>
      <c r="I30" s="58" t="s">
        <v>53</v>
      </c>
      <c r="J30" s="59">
        <v>1</v>
      </c>
      <c r="K30" s="60">
        <v>866000</v>
      </c>
      <c r="L30" s="61">
        <v>0</v>
      </c>
      <c r="M30" s="61">
        <v>0</v>
      </c>
      <c r="N30" s="60">
        <f t="shared" ref="N30:N31" si="19">K30+L30-M30</f>
        <v>866000</v>
      </c>
      <c r="O30" s="61">
        <v>0</v>
      </c>
      <c r="P30" s="61">
        <v>0</v>
      </c>
      <c r="Q30" s="61">
        <f>-74825.18-74825.18-86818.77-81976.87-80667.64</f>
        <v>-399113.64</v>
      </c>
      <c r="R30" s="60">
        <f t="shared" ref="R30:R31" si="20">N30-O30+P30+Q30</f>
        <v>466886.36</v>
      </c>
      <c r="S30" s="61">
        <v>0</v>
      </c>
      <c r="T30" s="62">
        <f>S30/R30</f>
        <v>0</v>
      </c>
      <c r="U30" s="61">
        <v>0</v>
      </c>
      <c r="V30" s="62">
        <f t="shared" ref="V30" si="21">U30/R30</f>
        <v>0</v>
      </c>
      <c r="W30" s="61">
        <v>0</v>
      </c>
      <c r="X30" s="63">
        <f t="shared" ref="X30" si="22">W30/R30</f>
        <v>0</v>
      </c>
      <c r="Y30" s="42"/>
    </row>
    <row r="31" spans="1:25" s="64" customFormat="1" ht="39" customHeight="1" x14ac:dyDescent="0.2">
      <c r="A31" s="51" t="s">
        <v>46</v>
      </c>
      <c r="B31" s="52" t="s">
        <v>47</v>
      </c>
      <c r="C31" s="53" t="s">
        <v>51</v>
      </c>
      <c r="D31" s="54" t="s">
        <v>63</v>
      </c>
      <c r="E31" s="55" t="s">
        <v>49</v>
      </c>
      <c r="F31" s="56" t="s">
        <v>65</v>
      </c>
      <c r="G31" s="57">
        <v>1</v>
      </c>
      <c r="H31" s="84" t="s">
        <v>61</v>
      </c>
      <c r="I31" s="85" t="s">
        <v>62</v>
      </c>
      <c r="J31" s="59">
        <v>1</v>
      </c>
      <c r="K31" s="60">
        <v>0</v>
      </c>
      <c r="L31" s="61">
        <f>364370.73</f>
        <v>364370.73</v>
      </c>
      <c r="M31" s="61">
        <v>0</v>
      </c>
      <c r="N31" s="60">
        <f t="shared" si="19"/>
        <v>364370.73</v>
      </c>
      <c r="O31" s="61">
        <f>364370.73</f>
        <v>364370.73</v>
      </c>
      <c r="P31" s="61">
        <v>0</v>
      </c>
      <c r="Q31" s="61">
        <v>0</v>
      </c>
      <c r="R31" s="60">
        <f t="shared" si="20"/>
        <v>0</v>
      </c>
      <c r="S31" s="61">
        <v>0</v>
      </c>
      <c r="T31" s="62">
        <v>0</v>
      </c>
      <c r="U31" s="61">
        <v>0</v>
      </c>
      <c r="V31" s="62">
        <v>0</v>
      </c>
      <c r="W31" s="61">
        <v>0</v>
      </c>
      <c r="X31" s="63">
        <v>0</v>
      </c>
      <c r="Y31" s="42"/>
    </row>
    <row r="32" spans="1:25" s="42" customFormat="1" ht="9" customHeight="1" x14ac:dyDescent="0.2">
      <c r="A32" s="65"/>
      <c r="B32" s="66"/>
      <c r="C32" s="67"/>
      <c r="D32" s="68"/>
      <c r="E32" s="69"/>
      <c r="F32" s="70"/>
      <c r="G32" s="71"/>
      <c r="H32" s="67"/>
      <c r="I32" s="72"/>
      <c r="J32" s="73"/>
      <c r="K32" s="74"/>
      <c r="L32" s="75"/>
      <c r="M32" s="75"/>
      <c r="N32" s="74"/>
      <c r="O32" s="75"/>
      <c r="P32" s="75"/>
      <c r="Q32" s="75"/>
      <c r="R32" s="74"/>
      <c r="S32" s="75"/>
      <c r="T32" s="76"/>
      <c r="U32" s="75"/>
      <c r="V32" s="76"/>
      <c r="W32" s="75"/>
      <c r="X32" s="77"/>
    </row>
    <row r="33" spans="1:25" s="50" customFormat="1" ht="39" customHeight="1" x14ac:dyDescent="0.2">
      <c r="A33" s="78" t="s">
        <v>46</v>
      </c>
      <c r="B33" s="161" t="s">
        <v>47</v>
      </c>
      <c r="C33" s="162"/>
      <c r="D33" s="79" t="s">
        <v>66</v>
      </c>
      <c r="E33" s="80" t="s">
        <v>49</v>
      </c>
      <c r="F33" s="161" t="s">
        <v>67</v>
      </c>
      <c r="G33" s="163"/>
      <c r="H33" s="163"/>
      <c r="I33" s="163"/>
      <c r="J33" s="162"/>
      <c r="K33" s="81">
        <f>SUM(K34:K36)</f>
        <v>6141273</v>
      </c>
      <c r="L33" s="81">
        <f t="shared" ref="L33:S33" si="23">SUM(L34:L36)</f>
        <v>1729828</v>
      </c>
      <c r="M33" s="81">
        <f t="shared" si="23"/>
        <v>0</v>
      </c>
      <c r="N33" s="81">
        <f t="shared" si="23"/>
        <v>7871101</v>
      </c>
      <c r="O33" s="81">
        <f t="shared" si="23"/>
        <v>1714798</v>
      </c>
      <c r="P33" s="81">
        <f t="shared" si="23"/>
        <v>0</v>
      </c>
      <c r="Q33" s="81">
        <f t="shared" si="23"/>
        <v>0</v>
      </c>
      <c r="R33" s="81">
        <f t="shared" si="23"/>
        <v>6156303</v>
      </c>
      <c r="S33" s="81">
        <f t="shared" si="23"/>
        <v>1115587.75</v>
      </c>
      <c r="T33" s="82">
        <f>S33/R33</f>
        <v>0.18121066328281762</v>
      </c>
      <c r="U33" s="81">
        <f>SUM(U34:U36)</f>
        <v>509543.75</v>
      </c>
      <c r="V33" s="82">
        <f>U33/R33</f>
        <v>8.2767815359315489E-2</v>
      </c>
      <c r="W33" s="81">
        <f>SUM(W34:W36)</f>
        <v>509543.75</v>
      </c>
      <c r="X33" s="83">
        <f>W33/R33</f>
        <v>8.2767815359315489E-2</v>
      </c>
      <c r="Y33" s="49"/>
    </row>
    <row r="34" spans="1:25" s="64" customFormat="1" ht="39" customHeight="1" x14ac:dyDescent="0.2">
      <c r="A34" s="51" t="s">
        <v>46</v>
      </c>
      <c r="B34" s="52" t="s">
        <v>47</v>
      </c>
      <c r="C34" s="53" t="s">
        <v>51</v>
      </c>
      <c r="D34" s="54" t="s">
        <v>66</v>
      </c>
      <c r="E34" s="55" t="s">
        <v>49</v>
      </c>
      <c r="F34" s="56" t="s">
        <v>67</v>
      </c>
      <c r="G34" s="57">
        <v>1</v>
      </c>
      <c r="H34" s="53" t="s">
        <v>68</v>
      </c>
      <c r="I34" s="58" t="s">
        <v>69</v>
      </c>
      <c r="J34" s="59">
        <v>3</v>
      </c>
      <c r="K34" s="60">
        <v>5588558</v>
      </c>
      <c r="L34" s="61">
        <v>0</v>
      </c>
      <c r="M34" s="61">
        <v>0</v>
      </c>
      <c r="N34" s="60">
        <f t="shared" ref="N34:N36" si="24">K34+L34-M34</f>
        <v>5588558</v>
      </c>
      <c r="O34" s="61">
        <v>0</v>
      </c>
      <c r="P34" s="61">
        <v>0</v>
      </c>
      <c r="Q34" s="61">
        <v>0</v>
      </c>
      <c r="R34" s="60">
        <f t="shared" ref="R34:R36" si="25">N34-O34+P34+Q34</f>
        <v>5588558</v>
      </c>
      <c r="S34" s="61">
        <f>506458.75+3085+606044</f>
        <v>1115587.75</v>
      </c>
      <c r="T34" s="62">
        <f>S34/R34</f>
        <v>0.19961996457762449</v>
      </c>
      <c r="U34" s="61">
        <f>467898.75+41645</f>
        <v>509543.75</v>
      </c>
      <c r="V34" s="62">
        <f t="shared" ref="V34:V35" si="26">U34/R34</f>
        <v>9.1176247969511987E-2</v>
      </c>
      <c r="W34" s="61">
        <f>466130+43413.75</f>
        <v>509543.75</v>
      </c>
      <c r="X34" s="63">
        <f t="shared" ref="X34:X35" si="27">W34/R34</f>
        <v>9.1176247969511987E-2</v>
      </c>
      <c r="Y34" s="42"/>
    </row>
    <row r="35" spans="1:25" s="64" customFormat="1" ht="39" customHeight="1" x14ac:dyDescent="0.2">
      <c r="A35" s="51" t="s">
        <v>46</v>
      </c>
      <c r="B35" s="52" t="s">
        <v>47</v>
      </c>
      <c r="C35" s="53" t="s">
        <v>51</v>
      </c>
      <c r="D35" s="54" t="s">
        <v>66</v>
      </c>
      <c r="E35" s="55" t="s">
        <v>49</v>
      </c>
      <c r="F35" s="56" t="s">
        <v>67</v>
      </c>
      <c r="G35" s="57">
        <v>1</v>
      </c>
      <c r="H35" s="53" t="s">
        <v>68</v>
      </c>
      <c r="I35" s="58" t="s">
        <v>69</v>
      </c>
      <c r="J35" s="59">
        <v>4</v>
      </c>
      <c r="K35" s="60">
        <v>552715</v>
      </c>
      <c r="L35" s="61">
        <v>0</v>
      </c>
      <c r="M35" s="61">
        <v>0</v>
      </c>
      <c r="N35" s="60">
        <f t="shared" si="24"/>
        <v>552715</v>
      </c>
      <c r="O35" s="61">
        <v>0</v>
      </c>
      <c r="P35" s="61">
        <v>0</v>
      </c>
      <c r="Q35" s="61">
        <v>0</v>
      </c>
      <c r="R35" s="60">
        <f t="shared" si="25"/>
        <v>552715</v>
      </c>
      <c r="S35" s="61">
        <v>0</v>
      </c>
      <c r="T35" s="62">
        <f t="shared" ref="T35" si="28">S35/R35</f>
        <v>0</v>
      </c>
      <c r="U35" s="61">
        <v>0</v>
      </c>
      <c r="V35" s="62">
        <f t="shared" si="26"/>
        <v>0</v>
      </c>
      <c r="W35" s="61">
        <v>0</v>
      </c>
      <c r="X35" s="63">
        <f t="shared" si="27"/>
        <v>0</v>
      </c>
      <c r="Y35" s="42"/>
    </row>
    <row r="36" spans="1:25" s="64" customFormat="1" ht="39" customHeight="1" x14ac:dyDescent="0.2">
      <c r="A36" s="51" t="s">
        <v>46</v>
      </c>
      <c r="B36" s="52" t="s">
        <v>47</v>
      </c>
      <c r="C36" s="53" t="s">
        <v>51</v>
      </c>
      <c r="D36" s="54" t="s">
        <v>66</v>
      </c>
      <c r="E36" s="55" t="s">
        <v>49</v>
      </c>
      <c r="F36" s="56" t="s">
        <v>67</v>
      </c>
      <c r="G36" s="57">
        <v>1</v>
      </c>
      <c r="H36" s="53" t="s">
        <v>70</v>
      </c>
      <c r="I36" s="58" t="s">
        <v>71</v>
      </c>
      <c r="J36" s="59">
        <v>3</v>
      </c>
      <c r="K36" s="60">
        <v>0</v>
      </c>
      <c r="L36" s="61">
        <f>1729828</f>
        <v>1729828</v>
      </c>
      <c r="M36" s="61">
        <v>0</v>
      </c>
      <c r="N36" s="60">
        <f t="shared" si="24"/>
        <v>1729828</v>
      </c>
      <c r="O36" s="61">
        <f>1729828-15030</f>
        <v>1714798</v>
      </c>
      <c r="P36" s="61">
        <v>0</v>
      </c>
      <c r="Q36" s="61">
        <v>0</v>
      </c>
      <c r="R36" s="60">
        <f t="shared" si="25"/>
        <v>15030</v>
      </c>
      <c r="S36" s="61">
        <v>0</v>
      </c>
      <c r="T36" s="62">
        <v>0</v>
      </c>
      <c r="U36" s="61">
        <v>0</v>
      </c>
      <c r="V36" s="62">
        <v>0</v>
      </c>
      <c r="W36" s="61">
        <v>0</v>
      </c>
      <c r="X36" s="63">
        <v>0</v>
      </c>
      <c r="Y36" s="42"/>
    </row>
    <row r="37" spans="1:25" s="42" customFormat="1" ht="9" customHeight="1" x14ac:dyDescent="0.2">
      <c r="A37" s="65"/>
      <c r="B37" s="66"/>
      <c r="C37" s="67"/>
      <c r="D37" s="68"/>
      <c r="E37" s="69"/>
      <c r="F37" s="70"/>
      <c r="G37" s="71"/>
      <c r="H37" s="67"/>
      <c r="I37" s="72"/>
      <c r="J37" s="73"/>
      <c r="K37" s="74"/>
      <c r="L37" s="75"/>
      <c r="M37" s="75"/>
      <c r="N37" s="74"/>
      <c r="O37" s="75"/>
      <c r="P37" s="75"/>
      <c r="Q37" s="75"/>
      <c r="R37" s="74"/>
      <c r="S37" s="75"/>
      <c r="T37" s="76"/>
      <c r="U37" s="75"/>
      <c r="V37" s="76"/>
      <c r="W37" s="75"/>
      <c r="X37" s="77"/>
    </row>
    <row r="38" spans="1:25" s="50" customFormat="1" ht="39" customHeight="1" x14ac:dyDescent="0.2">
      <c r="A38" s="78" t="s">
        <v>46</v>
      </c>
      <c r="B38" s="161" t="s">
        <v>47</v>
      </c>
      <c r="C38" s="162"/>
      <c r="D38" s="79" t="s">
        <v>72</v>
      </c>
      <c r="E38" s="80" t="s">
        <v>73</v>
      </c>
      <c r="F38" s="161" t="s">
        <v>74</v>
      </c>
      <c r="G38" s="163"/>
      <c r="H38" s="163"/>
      <c r="I38" s="163"/>
      <c r="J38" s="162"/>
      <c r="K38" s="81">
        <f>SUM(K39:K42)</f>
        <v>515820665</v>
      </c>
      <c r="L38" s="81">
        <f t="shared" ref="L38:S38" si="29">SUM(L39:L42)</f>
        <v>6150454</v>
      </c>
      <c r="M38" s="81">
        <f t="shared" si="29"/>
        <v>0</v>
      </c>
      <c r="N38" s="81">
        <f t="shared" si="29"/>
        <v>521971119</v>
      </c>
      <c r="O38" s="81">
        <f t="shared" si="29"/>
        <v>6150454</v>
      </c>
      <c r="P38" s="81">
        <f t="shared" si="29"/>
        <v>0</v>
      </c>
      <c r="Q38" s="81">
        <f t="shared" si="29"/>
        <v>0</v>
      </c>
      <c r="R38" s="81">
        <f t="shared" si="29"/>
        <v>515820665</v>
      </c>
      <c r="S38" s="81">
        <f t="shared" si="29"/>
        <v>197610516.99000001</v>
      </c>
      <c r="T38" s="82">
        <f t="shared" ref="T38:T41" si="30">S38/R38</f>
        <v>0.38309926375283937</v>
      </c>
      <c r="U38" s="81">
        <f>SUM(U39:U42)</f>
        <v>181572716.5</v>
      </c>
      <c r="V38" s="82">
        <f>U38/R38</f>
        <v>0.35200744913932441</v>
      </c>
      <c r="W38" s="81">
        <f>SUM(W39:W42)</f>
        <v>175038257.49999997</v>
      </c>
      <c r="X38" s="83">
        <f>W38/R38</f>
        <v>0.33933936613415822</v>
      </c>
      <c r="Y38" s="49"/>
    </row>
    <row r="39" spans="1:25" s="64" customFormat="1" ht="39" customHeight="1" x14ac:dyDescent="0.2">
      <c r="A39" s="51" t="s">
        <v>46</v>
      </c>
      <c r="B39" s="52" t="s">
        <v>47</v>
      </c>
      <c r="C39" s="53" t="s">
        <v>75</v>
      </c>
      <c r="D39" s="54" t="s">
        <v>72</v>
      </c>
      <c r="E39" s="55" t="s">
        <v>73</v>
      </c>
      <c r="F39" s="56" t="s">
        <v>74</v>
      </c>
      <c r="G39" s="57">
        <v>1</v>
      </c>
      <c r="H39" s="53" t="s">
        <v>52</v>
      </c>
      <c r="I39" s="58" t="s">
        <v>53</v>
      </c>
      <c r="J39" s="59">
        <v>1</v>
      </c>
      <c r="K39" s="60">
        <v>514192235</v>
      </c>
      <c r="L39" s="61">
        <v>0</v>
      </c>
      <c r="M39" s="61">
        <v>0</v>
      </c>
      <c r="N39" s="60">
        <f t="shared" si="1"/>
        <v>514192235</v>
      </c>
      <c r="O39" s="61">
        <v>0</v>
      </c>
      <c r="P39" s="61">
        <v>0</v>
      </c>
      <c r="Q39" s="61">
        <v>0</v>
      </c>
      <c r="R39" s="60">
        <f t="shared" si="2"/>
        <v>514192235</v>
      </c>
      <c r="S39" s="61">
        <f>37316995.93+34093727.91+9327219.26+8800.45+116455188.9</f>
        <v>197201932.45000002</v>
      </c>
      <c r="T39" s="62">
        <f t="shared" si="30"/>
        <v>0.38351791222595966</v>
      </c>
      <c r="U39" s="61">
        <f>37316995.93+1459722.32+33949261.77+7900331.46+100537820.48</f>
        <v>181164131.96000001</v>
      </c>
      <c r="V39" s="62">
        <f t="shared" si="11"/>
        <v>0.35232763085191282</v>
      </c>
      <c r="W39" s="61">
        <f>13465831.99+25238122.48+29090359.04+7900331.46+98935027.99</f>
        <v>174629672.95999998</v>
      </c>
      <c r="X39" s="63">
        <f t="shared" si="12"/>
        <v>0.33961942844197168</v>
      </c>
      <c r="Y39" s="42"/>
    </row>
    <row r="40" spans="1:25" s="64" customFormat="1" ht="39" customHeight="1" x14ac:dyDescent="0.2">
      <c r="A40" s="51" t="s">
        <v>46</v>
      </c>
      <c r="B40" s="52" t="s">
        <v>47</v>
      </c>
      <c r="C40" s="53" t="s">
        <v>75</v>
      </c>
      <c r="D40" s="54" t="s">
        <v>72</v>
      </c>
      <c r="E40" s="55" t="s">
        <v>73</v>
      </c>
      <c r="F40" s="56" t="s">
        <v>74</v>
      </c>
      <c r="G40" s="57">
        <v>1</v>
      </c>
      <c r="H40" s="53" t="s">
        <v>52</v>
      </c>
      <c r="I40" s="58" t="s">
        <v>53</v>
      </c>
      <c r="J40" s="59">
        <v>3</v>
      </c>
      <c r="K40" s="60">
        <v>513870</v>
      </c>
      <c r="L40" s="61">
        <v>0</v>
      </c>
      <c r="M40" s="61">
        <v>0</v>
      </c>
      <c r="N40" s="60">
        <f t="shared" si="1"/>
        <v>513870</v>
      </c>
      <c r="O40" s="61">
        <v>0</v>
      </c>
      <c r="P40" s="61">
        <v>0</v>
      </c>
      <c r="Q40" s="61">
        <v>0</v>
      </c>
      <c r="R40" s="60">
        <f t="shared" si="2"/>
        <v>513870</v>
      </c>
      <c r="S40" s="61">
        <f>8189+77119.84+25602.5</f>
        <v>110911.34</v>
      </c>
      <c r="T40" s="62">
        <f t="shared" si="30"/>
        <v>0.21583540584194447</v>
      </c>
      <c r="U40" s="61">
        <f>8189+67714.84+9405+25602.5</f>
        <v>110911.34</v>
      </c>
      <c r="V40" s="62">
        <f t="shared" si="11"/>
        <v>0.21583540584194447</v>
      </c>
      <c r="W40" s="61">
        <f>55966.92+29341.92+25602.5</f>
        <v>110911.34</v>
      </c>
      <c r="X40" s="63">
        <f t="shared" si="12"/>
        <v>0.21583540584194447</v>
      </c>
      <c r="Y40" s="42"/>
    </row>
    <row r="41" spans="1:25" s="64" customFormat="1" ht="39" customHeight="1" x14ac:dyDescent="0.2">
      <c r="A41" s="51" t="s">
        <v>46</v>
      </c>
      <c r="B41" s="52" t="s">
        <v>47</v>
      </c>
      <c r="C41" s="53" t="s">
        <v>75</v>
      </c>
      <c r="D41" s="54" t="s">
        <v>72</v>
      </c>
      <c r="E41" s="55" t="s">
        <v>73</v>
      </c>
      <c r="F41" s="56" t="s">
        <v>74</v>
      </c>
      <c r="G41" s="57">
        <v>1</v>
      </c>
      <c r="H41" s="53" t="s">
        <v>76</v>
      </c>
      <c r="I41" s="58" t="s">
        <v>77</v>
      </c>
      <c r="J41" s="59">
        <v>1</v>
      </c>
      <c r="K41" s="60">
        <v>1114560</v>
      </c>
      <c r="L41" s="61">
        <v>0</v>
      </c>
      <c r="M41" s="61">
        <v>0</v>
      </c>
      <c r="N41" s="60">
        <f t="shared" si="1"/>
        <v>1114560</v>
      </c>
      <c r="O41" s="61">
        <v>0</v>
      </c>
      <c r="P41" s="61">
        <v>0</v>
      </c>
      <c r="Q41" s="61">
        <v>0</v>
      </c>
      <c r="R41" s="60">
        <f t="shared" si="2"/>
        <v>1114560</v>
      </c>
      <c r="S41" s="61">
        <f>116943.31+44265.14+136464.75</f>
        <v>297673.2</v>
      </c>
      <c r="T41" s="62">
        <f t="shared" si="30"/>
        <v>0.2670768733850129</v>
      </c>
      <c r="U41" s="61">
        <f>26321.32+134887.13+136464.75</f>
        <v>297673.2</v>
      </c>
      <c r="V41" s="62">
        <f t="shared" si="11"/>
        <v>0.2670768733850129</v>
      </c>
      <c r="W41" s="61">
        <f>15983.68+145224.77+136464.75</f>
        <v>297673.19999999995</v>
      </c>
      <c r="X41" s="63">
        <f t="shared" si="12"/>
        <v>0.2670768733850129</v>
      </c>
      <c r="Y41" s="42"/>
    </row>
    <row r="42" spans="1:25" s="64" customFormat="1" ht="39" customHeight="1" x14ac:dyDescent="0.2">
      <c r="A42" s="51" t="s">
        <v>46</v>
      </c>
      <c r="B42" s="52" t="s">
        <v>47</v>
      </c>
      <c r="C42" s="53" t="s">
        <v>75</v>
      </c>
      <c r="D42" s="54" t="s">
        <v>72</v>
      </c>
      <c r="E42" s="55" t="s">
        <v>73</v>
      </c>
      <c r="F42" s="56" t="s">
        <v>74</v>
      </c>
      <c r="G42" s="57">
        <v>1</v>
      </c>
      <c r="H42" s="84" t="s">
        <v>61</v>
      </c>
      <c r="I42" s="85" t="s">
        <v>62</v>
      </c>
      <c r="J42" s="59">
        <v>1</v>
      </c>
      <c r="K42" s="60">
        <v>0</v>
      </c>
      <c r="L42" s="61">
        <f>150454+6000000</f>
        <v>6150454</v>
      </c>
      <c r="M42" s="61">
        <v>0</v>
      </c>
      <c r="N42" s="60">
        <f t="shared" si="1"/>
        <v>6150454</v>
      </c>
      <c r="O42" s="61">
        <f>6150454</f>
        <v>6150454</v>
      </c>
      <c r="P42" s="61">
        <v>0</v>
      </c>
      <c r="Q42" s="61">
        <v>0</v>
      </c>
      <c r="R42" s="60">
        <f t="shared" si="2"/>
        <v>0</v>
      </c>
      <c r="S42" s="61">
        <v>0</v>
      </c>
      <c r="T42" s="62">
        <v>0</v>
      </c>
      <c r="U42" s="61">
        <v>0</v>
      </c>
      <c r="V42" s="62">
        <v>0</v>
      </c>
      <c r="W42" s="61">
        <v>0</v>
      </c>
      <c r="X42" s="63">
        <v>0</v>
      </c>
      <c r="Y42" s="42"/>
    </row>
    <row r="43" spans="1:25" s="42" customFormat="1" ht="9" customHeight="1" x14ac:dyDescent="0.2">
      <c r="A43" s="65"/>
      <c r="B43" s="66"/>
      <c r="C43" s="67"/>
      <c r="D43" s="68"/>
      <c r="E43" s="69"/>
      <c r="F43" s="70"/>
      <c r="G43" s="71"/>
      <c r="H43" s="67"/>
      <c r="I43" s="72"/>
      <c r="J43" s="73"/>
      <c r="K43" s="74"/>
      <c r="L43" s="75"/>
      <c r="M43" s="75"/>
      <c r="N43" s="74"/>
      <c r="O43" s="75"/>
      <c r="P43" s="75"/>
      <c r="Q43" s="75"/>
      <c r="R43" s="74"/>
      <c r="S43" s="75"/>
      <c r="T43" s="76"/>
      <c r="U43" s="75"/>
      <c r="V43" s="76"/>
      <c r="W43" s="75"/>
      <c r="X43" s="77"/>
    </row>
    <row r="44" spans="1:25" s="50" customFormat="1" ht="39" customHeight="1" x14ac:dyDescent="0.2">
      <c r="A44" s="78" t="s">
        <v>46</v>
      </c>
      <c r="B44" s="161" t="s">
        <v>47</v>
      </c>
      <c r="C44" s="162"/>
      <c r="D44" s="79" t="s">
        <v>78</v>
      </c>
      <c r="E44" s="80" t="s">
        <v>73</v>
      </c>
      <c r="F44" s="161" t="s">
        <v>79</v>
      </c>
      <c r="G44" s="163"/>
      <c r="H44" s="163"/>
      <c r="I44" s="163"/>
      <c r="J44" s="162"/>
      <c r="K44" s="81">
        <f>SUM(K45:K47)</f>
        <v>73116327</v>
      </c>
      <c r="L44" s="81">
        <f t="shared" ref="L44:S44" si="31">SUM(L45:L47)</f>
        <v>0</v>
      </c>
      <c r="M44" s="81">
        <f t="shared" si="31"/>
        <v>0</v>
      </c>
      <c r="N44" s="81">
        <f t="shared" si="31"/>
        <v>73116327</v>
      </c>
      <c r="O44" s="81">
        <f t="shared" si="31"/>
        <v>0</v>
      </c>
      <c r="P44" s="81">
        <f t="shared" si="31"/>
        <v>0</v>
      </c>
      <c r="Q44" s="81">
        <f t="shared" si="31"/>
        <v>0</v>
      </c>
      <c r="R44" s="81">
        <f t="shared" si="31"/>
        <v>73116327</v>
      </c>
      <c r="S44" s="81">
        <f t="shared" si="31"/>
        <v>27393737.800000001</v>
      </c>
      <c r="T44" s="82">
        <f>S44/R44</f>
        <v>0.37465965433411336</v>
      </c>
      <c r="U44" s="81">
        <f>SUM(U45:U47)</f>
        <v>26264086.400000002</v>
      </c>
      <c r="V44" s="82">
        <f>U44/R44</f>
        <v>0.35920959760464993</v>
      </c>
      <c r="W44" s="81">
        <f>SUM(W45:W47)</f>
        <v>26264086.399999999</v>
      </c>
      <c r="X44" s="83">
        <f>W44/R44</f>
        <v>0.35920959760464988</v>
      </c>
      <c r="Y44" s="49"/>
    </row>
    <row r="45" spans="1:25" s="64" customFormat="1" ht="39" customHeight="1" x14ac:dyDescent="0.2">
      <c r="A45" s="51" t="s">
        <v>46</v>
      </c>
      <c r="B45" s="52" t="s">
        <v>47</v>
      </c>
      <c r="C45" s="53" t="s">
        <v>75</v>
      </c>
      <c r="D45" s="54" t="s">
        <v>78</v>
      </c>
      <c r="E45" s="55" t="s">
        <v>73</v>
      </c>
      <c r="F45" s="56" t="s">
        <v>79</v>
      </c>
      <c r="G45" s="57">
        <v>1</v>
      </c>
      <c r="H45" s="53" t="s">
        <v>52</v>
      </c>
      <c r="I45" s="58" t="s">
        <v>53</v>
      </c>
      <c r="J45" s="59">
        <v>1</v>
      </c>
      <c r="K45" s="60">
        <v>72612687</v>
      </c>
      <c r="L45" s="61">
        <v>0</v>
      </c>
      <c r="M45" s="61">
        <v>0</v>
      </c>
      <c r="N45" s="60">
        <f t="shared" si="1"/>
        <v>72612687</v>
      </c>
      <c r="O45" s="61">
        <v>0</v>
      </c>
      <c r="P45" s="61">
        <v>0</v>
      </c>
      <c r="Q45" s="61">
        <v>0</v>
      </c>
      <c r="R45" s="60">
        <f t="shared" si="2"/>
        <v>72612687</v>
      </c>
      <c r="S45" s="61">
        <f>5472401.91+5105741.29+232501.33+16564046.54</f>
        <v>27374691.07</v>
      </c>
      <c r="T45" s="62">
        <f>S45/R45</f>
        <v>0.3769959796419598</v>
      </c>
      <c r="U45" s="61">
        <f>5472401.91+5105741.29+232501.33+15434395.14</f>
        <v>26245039.670000002</v>
      </c>
      <c r="V45" s="62">
        <f t="shared" si="11"/>
        <v>0.36143876165882693</v>
      </c>
      <c r="W45" s="61">
        <f>1919851.21+3552550.7+4905242.56+232501.33+15634893.87</f>
        <v>26245039.669999998</v>
      </c>
      <c r="X45" s="63">
        <f t="shared" si="12"/>
        <v>0.36143876165882688</v>
      </c>
      <c r="Y45" s="42"/>
    </row>
    <row r="46" spans="1:25" s="64" customFormat="1" ht="39" customHeight="1" x14ac:dyDescent="0.2">
      <c r="A46" s="51" t="s">
        <v>46</v>
      </c>
      <c r="B46" s="52" t="s">
        <v>47</v>
      </c>
      <c r="C46" s="53" t="s">
        <v>75</v>
      </c>
      <c r="D46" s="54" t="s">
        <v>78</v>
      </c>
      <c r="E46" s="55" t="s">
        <v>73</v>
      </c>
      <c r="F46" s="56" t="s">
        <v>79</v>
      </c>
      <c r="G46" s="57">
        <v>1</v>
      </c>
      <c r="H46" s="53" t="s">
        <v>52</v>
      </c>
      <c r="I46" s="58" t="s">
        <v>53</v>
      </c>
      <c r="J46" s="59">
        <v>3</v>
      </c>
      <c r="K46" s="60">
        <v>52000</v>
      </c>
      <c r="L46" s="61">
        <v>0</v>
      </c>
      <c r="M46" s="61">
        <v>0</v>
      </c>
      <c r="N46" s="60">
        <f t="shared" si="1"/>
        <v>52000</v>
      </c>
      <c r="O46" s="61">
        <v>0</v>
      </c>
      <c r="P46" s="61">
        <v>0</v>
      </c>
      <c r="Q46" s="61">
        <v>0</v>
      </c>
      <c r="R46" s="60">
        <f t="shared" si="2"/>
        <v>52000</v>
      </c>
      <c r="S46" s="61">
        <f>1039+1567.5+3135</f>
        <v>5741.5</v>
      </c>
      <c r="T46" s="62">
        <f>S46/R46</f>
        <v>0.11041346153846154</v>
      </c>
      <c r="U46" s="61">
        <f>1039+1567.5+3135</f>
        <v>5741.5</v>
      </c>
      <c r="V46" s="62">
        <f t="shared" si="11"/>
        <v>0.11041346153846154</v>
      </c>
      <c r="W46" s="61">
        <f>1039+1567.5+3135</f>
        <v>5741.5</v>
      </c>
      <c r="X46" s="63">
        <f t="shared" si="12"/>
        <v>0.11041346153846154</v>
      </c>
      <c r="Y46" s="42"/>
    </row>
    <row r="47" spans="1:25" s="64" customFormat="1" ht="39" customHeight="1" x14ac:dyDescent="0.2">
      <c r="A47" s="51" t="s">
        <v>46</v>
      </c>
      <c r="B47" s="52" t="s">
        <v>47</v>
      </c>
      <c r="C47" s="53" t="s">
        <v>75</v>
      </c>
      <c r="D47" s="54" t="s">
        <v>78</v>
      </c>
      <c r="E47" s="55" t="s">
        <v>73</v>
      </c>
      <c r="F47" s="56" t="s">
        <v>79</v>
      </c>
      <c r="G47" s="57">
        <v>1</v>
      </c>
      <c r="H47" s="53" t="s">
        <v>76</v>
      </c>
      <c r="I47" s="58" t="s">
        <v>77</v>
      </c>
      <c r="J47" s="59">
        <v>1</v>
      </c>
      <c r="K47" s="60">
        <v>451640</v>
      </c>
      <c r="L47" s="61">
        <v>0</v>
      </c>
      <c r="M47" s="61">
        <v>0</v>
      </c>
      <c r="N47" s="60">
        <f t="shared" si="1"/>
        <v>451640</v>
      </c>
      <c r="O47" s="61">
        <v>0</v>
      </c>
      <c r="P47" s="61">
        <v>0</v>
      </c>
      <c r="Q47" s="61">
        <v>0</v>
      </c>
      <c r="R47" s="60">
        <f t="shared" si="2"/>
        <v>451640</v>
      </c>
      <c r="S47" s="61">
        <f>13305.23</f>
        <v>13305.23</v>
      </c>
      <c r="T47" s="62">
        <f>S47/R47</f>
        <v>2.9459813125498183E-2</v>
      </c>
      <c r="U47" s="61">
        <f>13305.23</f>
        <v>13305.23</v>
      </c>
      <c r="V47" s="62">
        <f t="shared" si="11"/>
        <v>2.9459813125498183E-2</v>
      </c>
      <c r="W47" s="61">
        <f>13305.23</f>
        <v>13305.23</v>
      </c>
      <c r="X47" s="63">
        <f t="shared" si="12"/>
        <v>2.9459813125498183E-2</v>
      </c>
      <c r="Y47" s="42"/>
    </row>
    <row r="48" spans="1:25" s="42" customFormat="1" ht="9" customHeight="1" x14ac:dyDescent="0.2">
      <c r="A48" s="65"/>
      <c r="B48" s="66"/>
      <c r="C48" s="67"/>
      <c r="D48" s="68"/>
      <c r="E48" s="69"/>
      <c r="F48" s="70"/>
      <c r="G48" s="71"/>
      <c r="H48" s="67"/>
      <c r="I48" s="72"/>
      <c r="J48" s="73"/>
      <c r="K48" s="74"/>
      <c r="L48" s="75"/>
      <c r="M48" s="75"/>
      <c r="N48" s="74"/>
      <c r="O48" s="75"/>
      <c r="P48" s="75"/>
      <c r="Q48" s="75"/>
      <c r="R48" s="74"/>
      <c r="S48" s="75"/>
      <c r="T48" s="76"/>
      <c r="U48" s="75"/>
      <c r="V48" s="76"/>
      <c r="W48" s="75"/>
      <c r="X48" s="77"/>
    </row>
    <row r="49" spans="1:25" s="50" customFormat="1" ht="39" customHeight="1" x14ac:dyDescent="0.2">
      <c r="A49" s="78" t="s">
        <v>46</v>
      </c>
      <c r="B49" s="161" t="s">
        <v>47</v>
      </c>
      <c r="C49" s="162"/>
      <c r="D49" s="79" t="s">
        <v>80</v>
      </c>
      <c r="E49" s="80" t="s">
        <v>73</v>
      </c>
      <c r="F49" s="161" t="s">
        <v>81</v>
      </c>
      <c r="G49" s="163"/>
      <c r="H49" s="163"/>
      <c r="I49" s="163"/>
      <c r="J49" s="162"/>
      <c r="K49" s="81">
        <f>SUM(K50:K53)</f>
        <v>162493183</v>
      </c>
      <c r="L49" s="81">
        <f t="shared" ref="L49:S49" si="32">SUM(L50:L53)</f>
        <v>71702</v>
      </c>
      <c r="M49" s="81">
        <f t="shared" si="32"/>
        <v>0</v>
      </c>
      <c r="N49" s="81">
        <f t="shared" si="32"/>
        <v>162564885</v>
      </c>
      <c r="O49" s="81">
        <f t="shared" si="32"/>
        <v>71702</v>
      </c>
      <c r="P49" s="81">
        <f t="shared" si="32"/>
        <v>0</v>
      </c>
      <c r="Q49" s="81">
        <f t="shared" si="32"/>
        <v>0</v>
      </c>
      <c r="R49" s="81">
        <f t="shared" si="32"/>
        <v>162493183</v>
      </c>
      <c r="S49" s="81">
        <f t="shared" si="32"/>
        <v>60255220.690000005</v>
      </c>
      <c r="T49" s="82">
        <f>S49/R49</f>
        <v>0.3708169141471</v>
      </c>
      <c r="U49" s="81">
        <f>SUM(U50:U53)</f>
        <v>57627345.840000004</v>
      </c>
      <c r="V49" s="82">
        <f>U49/R49</f>
        <v>0.3546446981717381</v>
      </c>
      <c r="W49" s="81">
        <f>SUM(W50:W53)</f>
        <v>57473363.609999992</v>
      </c>
      <c r="X49" s="83">
        <f>W49/R49</f>
        <v>0.35369707546439033</v>
      </c>
      <c r="Y49" s="49"/>
    </row>
    <row r="50" spans="1:25" s="64" customFormat="1" ht="39" customHeight="1" x14ac:dyDescent="0.2">
      <c r="A50" s="51" t="s">
        <v>46</v>
      </c>
      <c r="B50" s="52" t="s">
        <v>47</v>
      </c>
      <c r="C50" s="53" t="s">
        <v>75</v>
      </c>
      <c r="D50" s="54" t="s">
        <v>80</v>
      </c>
      <c r="E50" s="55" t="s">
        <v>73</v>
      </c>
      <c r="F50" s="56" t="s">
        <v>82</v>
      </c>
      <c r="G50" s="57">
        <v>1</v>
      </c>
      <c r="H50" s="53" t="s">
        <v>52</v>
      </c>
      <c r="I50" s="58" t="s">
        <v>53</v>
      </c>
      <c r="J50" s="59">
        <v>1</v>
      </c>
      <c r="K50" s="60">
        <v>160130205</v>
      </c>
      <c r="L50" s="61">
        <v>0</v>
      </c>
      <c r="M50" s="61">
        <v>0</v>
      </c>
      <c r="N50" s="60">
        <f t="shared" si="1"/>
        <v>160130205</v>
      </c>
      <c r="O50" s="61">
        <v>0</v>
      </c>
      <c r="P50" s="61">
        <v>0</v>
      </c>
      <c r="Q50" s="61">
        <v>0</v>
      </c>
      <c r="R50" s="60">
        <f t="shared" si="2"/>
        <v>160130205</v>
      </c>
      <c r="S50" s="61">
        <f>11840816.54+10733506.07+1929419.61+1812.76+35111090.97</f>
        <v>59616645.950000003</v>
      </c>
      <c r="T50" s="62">
        <f>S50/R50</f>
        <v>0.37230106556099146</v>
      </c>
      <c r="U50" s="61">
        <f>11840816.54+42901.08+10471368.2+1711995.58+33062453.25</f>
        <v>57129534.649999999</v>
      </c>
      <c r="V50" s="62">
        <f t="shared" si="11"/>
        <v>0.3567692594286006</v>
      </c>
      <c r="W50" s="61">
        <f>4177170.82+7705227+10450135.04+1626835.32+33168837.09</f>
        <v>57128205.269999996</v>
      </c>
      <c r="X50" s="63">
        <f t="shared" si="12"/>
        <v>0.35676095755950599</v>
      </c>
      <c r="Y50" s="42"/>
    </row>
    <row r="51" spans="1:25" s="64" customFormat="1" ht="39" customHeight="1" x14ac:dyDescent="0.2">
      <c r="A51" s="51" t="s">
        <v>46</v>
      </c>
      <c r="B51" s="52" t="s">
        <v>47</v>
      </c>
      <c r="C51" s="53" t="s">
        <v>75</v>
      </c>
      <c r="D51" s="54" t="s">
        <v>80</v>
      </c>
      <c r="E51" s="55" t="s">
        <v>73</v>
      </c>
      <c r="F51" s="56" t="s">
        <v>82</v>
      </c>
      <c r="G51" s="57">
        <v>1</v>
      </c>
      <c r="H51" s="53" t="s">
        <v>52</v>
      </c>
      <c r="I51" s="58" t="s">
        <v>53</v>
      </c>
      <c r="J51" s="59">
        <v>3</v>
      </c>
      <c r="K51" s="60">
        <v>150000</v>
      </c>
      <c r="L51" s="61">
        <v>0</v>
      </c>
      <c r="M51" s="61">
        <v>0</v>
      </c>
      <c r="N51" s="60">
        <f t="shared" si="1"/>
        <v>150000</v>
      </c>
      <c r="O51" s="61">
        <v>0</v>
      </c>
      <c r="P51" s="61">
        <v>0</v>
      </c>
      <c r="Q51" s="61">
        <v>0</v>
      </c>
      <c r="R51" s="60">
        <f t="shared" si="2"/>
        <v>150000</v>
      </c>
      <c r="S51" s="61">
        <f>29590.1+7315</f>
        <v>36905.1</v>
      </c>
      <c r="T51" s="62">
        <f>S51/R51</f>
        <v>0.246034</v>
      </c>
      <c r="U51" s="61">
        <f>27500.1+2090+7315</f>
        <v>36905.1</v>
      </c>
      <c r="V51" s="62">
        <f>U51/R51</f>
        <v>0.246034</v>
      </c>
      <c r="W51" s="61">
        <f>23850.86+2090+7315</f>
        <v>33255.86</v>
      </c>
      <c r="X51" s="63">
        <f t="shared" si="12"/>
        <v>0.22170573333333335</v>
      </c>
      <c r="Y51" s="42"/>
    </row>
    <row r="52" spans="1:25" s="64" customFormat="1" ht="39" customHeight="1" x14ac:dyDescent="0.2">
      <c r="A52" s="51" t="s">
        <v>46</v>
      </c>
      <c r="B52" s="52" t="s">
        <v>47</v>
      </c>
      <c r="C52" s="53" t="s">
        <v>75</v>
      </c>
      <c r="D52" s="54" t="s">
        <v>80</v>
      </c>
      <c r="E52" s="55" t="s">
        <v>73</v>
      </c>
      <c r="F52" s="56" t="s">
        <v>82</v>
      </c>
      <c r="G52" s="57">
        <v>1</v>
      </c>
      <c r="H52" s="53" t="s">
        <v>76</v>
      </c>
      <c r="I52" s="58" t="s">
        <v>77</v>
      </c>
      <c r="J52" s="59">
        <v>1</v>
      </c>
      <c r="K52" s="60">
        <v>2212978</v>
      </c>
      <c r="L52" s="61">
        <v>0</v>
      </c>
      <c r="M52" s="61">
        <v>0</v>
      </c>
      <c r="N52" s="60">
        <f t="shared" si="1"/>
        <v>2212978</v>
      </c>
      <c r="O52" s="61">
        <v>0</v>
      </c>
      <c r="P52" s="61">
        <v>0</v>
      </c>
      <c r="Q52" s="61">
        <v>0</v>
      </c>
      <c r="R52" s="60">
        <f t="shared" si="2"/>
        <v>2212978</v>
      </c>
      <c r="S52" s="61">
        <f>192157.01+185385.5+224127.13</f>
        <v>601669.64</v>
      </c>
      <c r="T52" s="62">
        <f>S52/R52</f>
        <v>0.27188234135178929</v>
      </c>
      <c r="U52" s="61">
        <f>160163.91+31993.1+185385.5+83363.58</f>
        <v>460906.09</v>
      </c>
      <c r="V52" s="62">
        <f>U52/R52</f>
        <v>0.20827414009538278</v>
      </c>
      <c r="W52" s="61">
        <f>130122.6+62034.41+36381.89+83363.58</f>
        <v>311902.48000000004</v>
      </c>
      <c r="X52" s="63">
        <f t="shared" si="12"/>
        <v>0.14094242238287052</v>
      </c>
      <c r="Y52" s="42"/>
    </row>
    <row r="53" spans="1:25" s="64" customFormat="1" ht="39" customHeight="1" x14ac:dyDescent="0.2">
      <c r="A53" s="51" t="s">
        <v>46</v>
      </c>
      <c r="B53" s="52" t="s">
        <v>47</v>
      </c>
      <c r="C53" s="53" t="s">
        <v>75</v>
      </c>
      <c r="D53" s="54" t="s">
        <v>80</v>
      </c>
      <c r="E53" s="55" t="s">
        <v>73</v>
      </c>
      <c r="F53" s="56" t="s">
        <v>82</v>
      </c>
      <c r="G53" s="57">
        <v>1</v>
      </c>
      <c r="H53" s="84" t="s">
        <v>61</v>
      </c>
      <c r="I53" s="85" t="s">
        <v>62</v>
      </c>
      <c r="J53" s="59">
        <v>1</v>
      </c>
      <c r="K53" s="60">
        <v>0</v>
      </c>
      <c r="L53" s="61">
        <f>71702</f>
        <v>71702</v>
      </c>
      <c r="M53" s="61">
        <v>0</v>
      </c>
      <c r="N53" s="60">
        <f t="shared" si="1"/>
        <v>71702</v>
      </c>
      <c r="O53" s="61">
        <f>71702</f>
        <v>71702</v>
      </c>
      <c r="P53" s="61">
        <v>0</v>
      </c>
      <c r="Q53" s="61">
        <v>0</v>
      </c>
      <c r="R53" s="60">
        <f t="shared" si="2"/>
        <v>0</v>
      </c>
      <c r="S53" s="61">
        <v>0</v>
      </c>
      <c r="T53" s="62">
        <v>0</v>
      </c>
      <c r="U53" s="61">
        <v>0</v>
      </c>
      <c r="V53" s="62">
        <v>0</v>
      </c>
      <c r="W53" s="61">
        <v>0</v>
      </c>
      <c r="X53" s="63">
        <v>0</v>
      </c>
      <c r="Y53" s="42"/>
    </row>
    <row r="54" spans="1:25" s="42" customFormat="1" ht="9" customHeight="1" x14ac:dyDescent="0.2">
      <c r="A54" s="65"/>
      <c r="B54" s="66"/>
      <c r="C54" s="67"/>
      <c r="D54" s="68"/>
      <c r="E54" s="69"/>
      <c r="F54" s="70"/>
      <c r="G54" s="71"/>
      <c r="H54" s="67"/>
      <c r="I54" s="72"/>
      <c r="J54" s="73"/>
      <c r="K54" s="74"/>
      <c r="L54" s="75"/>
      <c r="M54" s="75"/>
      <c r="N54" s="74"/>
      <c r="O54" s="75"/>
      <c r="P54" s="75"/>
      <c r="Q54" s="75"/>
      <c r="R54" s="74"/>
      <c r="S54" s="75"/>
      <c r="T54" s="76"/>
      <c r="U54" s="75"/>
      <c r="V54" s="76"/>
      <c r="W54" s="75"/>
      <c r="X54" s="77"/>
    </row>
    <row r="55" spans="1:25" s="50" customFormat="1" ht="39" customHeight="1" x14ac:dyDescent="0.2">
      <c r="A55" s="78" t="s">
        <v>46</v>
      </c>
      <c r="B55" s="161" t="s">
        <v>47</v>
      </c>
      <c r="C55" s="162"/>
      <c r="D55" s="79" t="s">
        <v>83</v>
      </c>
      <c r="E55" s="80" t="s">
        <v>73</v>
      </c>
      <c r="F55" s="161" t="s">
        <v>84</v>
      </c>
      <c r="G55" s="163"/>
      <c r="H55" s="163"/>
      <c r="I55" s="163"/>
      <c r="J55" s="162"/>
      <c r="K55" s="81">
        <f>SUM(K56:K60)</f>
        <v>190954089</v>
      </c>
      <c r="L55" s="81">
        <f t="shared" ref="L55:S55" si="33">SUM(L56:L60)</f>
        <v>14707824</v>
      </c>
      <c r="M55" s="81">
        <f t="shared" si="33"/>
        <v>200000</v>
      </c>
      <c r="N55" s="81">
        <f t="shared" si="33"/>
        <v>205461913</v>
      </c>
      <c r="O55" s="81">
        <f t="shared" si="33"/>
        <v>14450055.609999999</v>
      </c>
      <c r="P55" s="81">
        <f t="shared" si="33"/>
        <v>0</v>
      </c>
      <c r="Q55" s="81">
        <f t="shared" si="33"/>
        <v>0</v>
      </c>
      <c r="R55" s="81">
        <f t="shared" si="33"/>
        <v>191011857.38999999</v>
      </c>
      <c r="S55" s="81">
        <f t="shared" si="33"/>
        <v>71944383.709999993</v>
      </c>
      <c r="T55" s="82">
        <f t="shared" ref="T55:T60" si="34">S55/R55</f>
        <v>0.37664878344754782</v>
      </c>
      <c r="U55" s="81">
        <f>SUM(U56:U60)</f>
        <v>65300481.050000004</v>
      </c>
      <c r="V55" s="82">
        <f>U55/R55</f>
        <v>0.34186611209518908</v>
      </c>
      <c r="W55" s="81">
        <f>SUM(W56:W60)</f>
        <v>56066762.5</v>
      </c>
      <c r="X55" s="83">
        <f>W55/R55</f>
        <v>0.29352503695896343</v>
      </c>
      <c r="Y55" s="49"/>
    </row>
    <row r="56" spans="1:25" s="64" customFormat="1" ht="39" customHeight="1" x14ac:dyDescent="0.2">
      <c r="A56" s="51" t="s">
        <v>46</v>
      </c>
      <c r="B56" s="52" t="s">
        <v>47</v>
      </c>
      <c r="C56" s="53" t="s">
        <v>75</v>
      </c>
      <c r="D56" s="54" t="s">
        <v>83</v>
      </c>
      <c r="E56" s="55" t="s">
        <v>73</v>
      </c>
      <c r="F56" s="56" t="s">
        <v>84</v>
      </c>
      <c r="G56" s="57">
        <v>1</v>
      </c>
      <c r="H56" s="53" t="s">
        <v>52</v>
      </c>
      <c r="I56" s="58" t="s">
        <v>53</v>
      </c>
      <c r="J56" s="59">
        <v>1</v>
      </c>
      <c r="K56" s="60">
        <v>190516867</v>
      </c>
      <c r="L56" s="61">
        <v>0</v>
      </c>
      <c r="M56" s="61">
        <v>0</v>
      </c>
      <c r="N56" s="60">
        <f t="shared" si="1"/>
        <v>190516867</v>
      </c>
      <c r="O56" s="61">
        <v>0</v>
      </c>
      <c r="P56" s="61">
        <v>0</v>
      </c>
      <c r="Q56" s="61">
        <v>0</v>
      </c>
      <c r="R56" s="60">
        <f t="shared" si="2"/>
        <v>190516867</v>
      </c>
      <c r="S56" s="61">
        <f>13529418.24+11968557.53+3277018.91+42927092.89</f>
        <v>71702087.569999993</v>
      </c>
      <c r="T56" s="62">
        <f t="shared" si="34"/>
        <v>0.37635558834798599</v>
      </c>
      <c r="U56" s="61">
        <f>13529418.24+202844.32+11867135.37+2902623.24+36613932.13</f>
        <v>65115953.300000004</v>
      </c>
      <c r="V56" s="62">
        <f>U56/R56</f>
        <v>0.341785765876572</v>
      </c>
      <c r="W56" s="61">
        <f>4894702.37+8837560.19+11867135.37+2902623.24+27380213.58</f>
        <v>55882234.75</v>
      </c>
      <c r="X56" s="63">
        <f t="shared" si="12"/>
        <v>0.29331909363174652</v>
      </c>
      <c r="Y56" s="42"/>
    </row>
    <row r="57" spans="1:25" s="64" customFormat="1" ht="39" customHeight="1" x14ac:dyDescent="0.2">
      <c r="A57" s="51" t="s">
        <v>46</v>
      </c>
      <c r="B57" s="52" t="s">
        <v>47</v>
      </c>
      <c r="C57" s="53" t="s">
        <v>75</v>
      </c>
      <c r="D57" s="54" t="s">
        <v>83</v>
      </c>
      <c r="E57" s="55" t="s">
        <v>73</v>
      </c>
      <c r="F57" s="56" t="s">
        <v>84</v>
      </c>
      <c r="G57" s="57">
        <v>1</v>
      </c>
      <c r="H57" s="53" t="s">
        <v>52</v>
      </c>
      <c r="I57" s="58" t="s">
        <v>53</v>
      </c>
      <c r="J57" s="59">
        <v>3</v>
      </c>
      <c r="K57" s="60">
        <v>30000</v>
      </c>
      <c r="L57" s="61">
        <v>0</v>
      </c>
      <c r="M57" s="61">
        <v>0</v>
      </c>
      <c r="N57" s="60">
        <f t="shared" si="1"/>
        <v>30000</v>
      </c>
      <c r="O57" s="61">
        <v>0</v>
      </c>
      <c r="P57" s="61">
        <v>0</v>
      </c>
      <c r="Q57" s="61">
        <v>0</v>
      </c>
      <c r="R57" s="60">
        <f t="shared" si="2"/>
        <v>30000</v>
      </c>
      <c r="S57" s="61">
        <v>0</v>
      </c>
      <c r="T57" s="62">
        <f t="shared" si="34"/>
        <v>0</v>
      </c>
      <c r="U57" s="61">
        <v>0</v>
      </c>
      <c r="V57" s="62">
        <f t="shared" si="11"/>
        <v>0</v>
      </c>
      <c r="W57" s="61">
        <v>0</v>
      </c>
      <c r="X57" s="63">
        <f t="shared" si="12"/>
        <v>0</v>
      </c>
      <c r="Y57" s="42"/>
    </row>
    <row r="58" spans="1:25" s="64" customFormat="1" ht="39" customHeight="1" x14ac:dyDescent="0.2">
      <c r="A58" s="51" t="s">
        <v>46</v>
      </c>
      <c r="B58" s="52" t="s">
        <v>47</v>
      </c>
      <c r="C58" s="53" t="s">
        <v>75</v>
      </c>
      <c r="D58" s="54" t="s">
        <v>83</v>
      </c>
      <c r="E58" s="55" t="s">
        <v>73</v>
      </c>
      <c r="F58" s="56" t="s">
        <v>84</v>
      </c>
      <c r="G58" s="57">
        <v>1</v>
      </c>
      <c r="H58" s="53" t="s">
        <v>76</v>
      </c>
      <c r="I58" s="58" t="s">
        <v>77</v>
      </c>
      <c r="J58" s="59">
        <v>1</v>
      </c>
      <c r="K58" s="60">
        <v>407222</v>
      </c>
      <c r="L58" s="61">
        <v>0</v>
      </c>
      <c r="M58" s="61">
        <v>0</v>
      </c>
      <c r="N58" s="60">
        <f t="shared" si="1"/>
        <v>407222</v>
      </c>
      <c r="O58" s="61">
        <v>0</v>
      </c>
      <c r="P58" s="61">
        <v>0</v>
      </c>
      <c r="Q58" s="61">
        <v>0</v>
      </c>
      <c r="R58" s="60">
        <f t="shared" si="2"/>
        <v>407222</v>
      </c>
      <c r="S58" s="61">
        <f>46313.74+138214.01</f>
        <v>184527.75</v>
      </c>
      <c r="T58" s="62">
        <f t="shared" si="34"/>
        <v>0.45313796897024228</v>
      </c>
      <c r="U58" s="61">
        <f>46313.74+138214.01</f>
        <v>184527.75</v>
      </c>
      <c r="V58" s="62">
        <f t="shared" si="11"/>
        <v>0.45313796897024228</v>
      </c>
      <c r="W58" s="61">
        <f>46313.74+138214.01</f>
        <v>184527.75</v>
      </c>
      <c r="X58" s="63">
        <f t="shared" si="12"/>
        <v>0.45313796897024228</v>
      </c>
      <c r="Y58" s="42"/>
    </row>
    <row r="59" spans="1:25" s="64" customFormat="1" ht="39" customHeight="1" x14ac:dyDescent="0.2">
      <c r="A59" s="51" t="s">
        <v>46</v>
      </c>
      <c r="B59" s="52" t="s">
        <v>47</v>
      </c>
      <c r="C59" s="53" t="s">
        <v>75</v>
      </c>
      <c r="D59" s="54" t="s">
        <v>83</v>
      </c>
      <c r="E59" s="55" t="s">
        <v>73</v>
      </c>
      <c r="F59" s="56" t="s">
        <v>84</v>
      </c>
      <c r="G59" s="57">
        <v>1</v>
      </c>
      <c r="H59" s="84" t="s">
        <v>61</v>
      </c>
      <c r="I59" s="85" t="s">
        <v>62</v>
      </c>
      <c r="J59" s="59">
        <v>1</v>
      </c>
      <c r="K59" s="60">
        <v>0</v>
      </c>
      <c r="L59" s="61">
        <f>711994+13795830</f>
        <v>14507824</v>
      </c>
      <c r="M59" s="61">
        <f>100000+100000</f>
        <v>200000</v>
      </c>
      <c r="N59" s="60">
        <f t="shared" si="1"/>
        <v>14307824</v>
      </c>
      <c r="O59" s="61">
        <f>14307824</f>
        <v>14307824</v>
      </c>
      <c r="P59" s="61">
        <v>0</v>
      </c>
      <c r="Q59" s="61">
        <v>0</v>
      </c>
      <c r="R59" s="60">
        <f t="shared" si="2"/>
        <v>0</v>
      </c>
      <c r="S59" s="61">
        <v>0</v>
      </c>
      <c r="T59" s="62">
        <v>0</v>
      </c>
      <c r="U59" s="61">
        <v>0</v>
      </c>
      <c r="V59" s="62">
        <v>0</v>
      </c>
      <c r="W59" s="61">
        <v>0</v>
      </c>
      <c r="X59" s="63">
        <v>0</v>
      </c>
      <c r="Y59" s="42"/>
    </row>
    <row r="60" spans="1:25" s="64" customFormat="1" ht="39" customHeight="1" x14ac:dyDescent="0.2">
      <c r="A60" s="51" t="s">
        <v>46</v>
      </c>
      <c r="B60" s="52" t="s">
        <v>47</v>
      </c>
      <c r="C60" s="53" t="s">
        <v>75</v>
      </c>
      <c r="D60" s="54" t="s">
        <v>83</v>
      </c>
      <c r="E60" s="55" t="s">
        <v>73</v>
      </c>
      <c r="F60" s="56" t="s">
        <v>84</v>
      </c>
      <c r="G60" s="57">
        <v>1</v>
      </c>
      <c r="H60" s="84" t="s">
        <v>61</v>
      </c>
      <c r="I60" s="85" t="s">
        <v>62</v>
      </c>
      <c r="J60" s="59">
        <v>3</v>
      </c>
      <c r="K60" s="60">
        <v>0</v>
      </c>
      <c r="L60" s="61">
        <f>100000+100000</f>
        <v>200000</v>
      </c>
      <c r="M60" s="61">
        <v>0</v>
      </c>
      <c r="N60" s="60">
        <f t="shared" si="1"/>
        <v>200000</v>
      </c>
      <c r="O60" s="61">
        <f>142231.61</f>
        <v>142231.60999999999</v>
      </c>
      <c r="P60" s="61">
        <v>0</v>
      </c>
      <c r="Q60" s="61">
        <v>0</v>
      </c>
      <c r="R60" s="60">
        <f t="shared" si="2"/>
        <v>57768.390000000014</v>
      </c>
      <c r="S60" s="61">
        <f>57768.39</f>
        <v>57768.39</v>
      </c>
      <c r="T60" s="62">
        <f t="shared" si="34"/>
        <v>0.99999999999999978</v>
      </c>
      <c r="U60" s="61">
        <v>0</v>
      </c>
      <c r="V60" s="62">
        <f t="shared" si="11"/>
        <v>0</v>
      </c>
      <c r="W60" s="61">
        <v>0</v>
      </c>
      <c r="X60" s="63">
        <f t="shared" si="12"/>
        <v>0</v>
      </c>
      <c r="Y60" s="42"/>
    </row>
    <row r="61" spans="1:25" s="42" customFormat="1" ht="9" customHeight="1" x14ac:dyDescent="0.2">
      <c r="A61" s="65"/>
      <c r="B61" s="66"/>
      <c r="C61" s="67"/>
      <c r="D61" s="68"/>
      <c r="E61" s="69"/>
      <c r="F61" s="70"/>
      <c r="G61" s="71"/>
      <c r="H61" s="67"/>
      <c r="I61" s="72"/>
      <c r="J61" s="73"/>
      <c r="K61" s="74"/>
      <c r="L61" s="75"/>
      <c r="M61" s="75"/>
      <c r="N61" s="74"/>
      <c r="O61" s="75"/>
      <c r="P61" s="75"/>
      <c r="Q61" s="75"/>
      <c r="R61" s="74"/>
      <c r="S61" s="75"/>
      <c r="T61" s="76"/>
      <c r="U61" s="75"/>
      <c r="V61" s="76"/>
      <c r="W61" s="75"/>
      <c r="X61" s="77"/>
    </row>
    <row r="62" spans="1:25" s="50" customFormat="1" ht="39" customHeight="1" x14ac:dyDescent="0.2">
      <c r="A62" s="78" t="s">
        <v>46</v>
      </c>
      <c r="B62" s="161" t="s">
        <v>47</v>
      </c>
      <c r="C62" s="162"/>
      <c r="D62" s="79" t="s">
        <v>85</v>
      </c>
      <c r="E62" s="80" t="s">
        <v>73</v>
      </c>
      <c r="F62" s="161" t="s">
        <v>86</v>
      </c>
      <c r="G62" s="163"/>
      <c r="H62" s="163"/>
      <c r="I62" s="163"/>
      <c r="J62" s="162"/>
      <c r="K62" s="81">
        <f>SUM(K63:K66)</f>
        <v>21052154</v>
      </c>
      <c r="L62" s="81">
        <f t="shared" ref="L62:S62" si="35">SUM(L63:L66)</f>
        <v>2187121</v>
      </c>
      <c r="M62" s="81">
        <f t="shared" si="35"/>
        <v>100000</v>
      </c>
      <c r="N62" s="81">
        <f t="shared" si="35"/>
        <v>23139275</v>
      </c>
      <c r="O62" s="81">
        <f t="shared" si="35"/>
        <v>1987121</v>
      </c>
      <c r="P62" s="81">
        <f t="shared" si="35"/>
        <v>0</v>
      </c>
      <c r="Q62" s="81">
        <f t="shared" si="35"/>
        <v>0</v>
      </c>
      <c r="R62" s="81">
        <f t="shared" si="35"/>
        <v>21152154</v>
      </c>
      <c r="S62" s="81">
        <f t="shared" si="35"/>
        <v>8170922.25</v>
      </c>
      <c r="T62" s="82">
        <f>S62/R62</f>
        <v>0.38629267969588343</v>
      </c>
      <c r="U62" s="81">
        <f>SUM(U63:U66)</f>
        <v>7370021.7699999996</v>
      </c>
      <c r="V62" s="82">
        <f>U62/R62</f>
        <v>0.34842890090531675</v>
      </c>
      <c r="W62" s="81">
        <f>SUM(W63:W66)</f>
        <v>7365305.4499999993</v>
      </c>
      <c r="X62" s="83">
        <f>W62/R62</f>
        <v>0.34820592976015585</v>
      </c>
      <c r="Y62" s="49"/>
    </row>
    <row r="63" spans="1:25" s="64" customFormat="1" ht="39" customHeight="1" x14ac:dyDescent="0.2">
      <c r="A63" s="51" t="s">
        <v>46</v>
      </c>
      <c r="B63" s="52" t="s">
        <v>47</v>
      </c>
      <c r="C63" s="53" t="s">
        <v>75</v>
      </c>
      <c r="D63" s="54" t="s">
        <v>85</v>
      </c>
      <c r="E63" s="55" t="s">
        <v>73</v>
      </c>
      <c r="F63" s="56" t="s">
        <v>86</v>
      </c>
      <c r="G63" s="57">
        <v>1</v>
      </c>
      <c r="H63" s="53" t="s">
        <v>52</v>
      </c>
      <c r="I63" s="58" t="s">
        <v>53</v>
      </c>
      <c r="J63" s="59">
        <v>1</v>
      </c>
      <c r="K63" s="60">
        <v>20952154</v>
      </c>
      <c r="L63" s="61">
        <v>0</v>
      </c>
      <c r="M63" s="61">
        <v>0</v>
      </c>
      <c r="N63" s="60">
        <f t="shared" si="1"/>
        <v>20952154</v>
      </c>
      <c r="O63" s="61">
        <v>0</v>
      </c>
      <c r="P63" s="61">
        <v>0</v>
      </c>
      <c r="Q63" s="61">
        <v>0</v>
      </c>
      <c r="R63" s="60">
        <f t="shared" si="2"/>
        <v>20952154</v>
      </c>
      <c r="S63" s="61">
        <f>1538481+1385775.96+308520.97+4796295.44</f>
        <v>8029073.3700000001</v>
      </c>
      <c r="T63" s="62">
        <f>S63/R63</f>
        <v>0.38320992533750947</v>
      </c>
      <c r="U63" s="61">
        <f>1538481-84022.04+1385775.96+308520.97+4138116.74</f>
        <v>7286872.6299999999</v>
      </c>
      <c r="V63" s="62">
        <f t="shared" si="11"/>
        <v>0.34778632449914221</v>
      </c>
      <c r="W63" s="61">
        <f>571511.71+882947.25+1385775.96+308520.97+4133400.42</f>
        <v>7282156.3099999996</v>
      </c>
      <c r="X63" s="63">
        <f t="shared" si="12"/>
        <v>0.34756122496999592</v>
      </c>
      <c r="Y63" s="42"/>
    </row>
    <row r="64" spans="1:25" s="64" customFormat="1" ht="39" customHeight="1" x14ac:dyDescent="0.2">
      <c r="A64" s="51" t="s">
        <v>46</v>
      </c>
      <c r="B64" s="52" t="s">
        <v>47</v>
      </c>
      <c r="C64" s="53" t="s">
        <v>75</v>
      </c>
      <c r="D64" s="54" t="s">
        <v>85</v>
      </c>
      <c r="E64" s="55" t="s">
        <v>73</v>
      </c>
      <c r="F64" s="56" t="s">
        <v>86</v>
      </c>
      <c r="G64" s="57">
        <v>1</v>
      </c>
      <c r="H64" s="53" t="s">
        <v>52</v>
      </c>
      <c r="I64" s="58" t="s">
        <v>53</v>
      </c>
      <c r="J64" s="59">
        <v>3</v>
      </c>
      <c r="K64" s="60">
        <v>100000</v>
      </c>
      <c r="L64" s="61">
        <v>0</v>
      </c>
      <c r="M64" s="61">
        <v>0</v>
      </c>
      <c r="N64" s="60">
        <f t="shared" si="1"/>
        <v>100000</v>
      </c>
      <c r="O64" s="61">
        <v>0</v>
      </c>
      <c r="P64" s="61">
        <v>0</v>
      </c>
      <c r="Q64" s="61">
        <v>0</v>
      </c>
      <c r="R64" s="60">
        <f t="shared" si="2"/>
        <v>100000</v>
      </c>
      <c r="S64" s="61">
        <f>70924.44+12224.7</f>
        <v>83149.14</v>
      </c>
      <c r="T64" s="62">
        <f>S64/R64</f>
        <v>0.83149139999999999</v>
      </c>
      <c r="U64" s="61">
        <f>70924.44+12224.7</f>
        <v>83149.14</v>
      </c>
      <c r="V64" s="62">
        <f t="shared" si="11"/>
        <v>0.83149139999999999</v>
      </c>
      <c r="W64" s="61">
        <f>70924.44+12224.7</f>
        <v>83149.14</v>
      </c>
      <c r="X64" s="63">
        <f t="shared" si="12"/>
        <v>0.83149139999999999</v>
      </c>
      <c r="Y64" s="42"/>
    </row>
    <row r="65" spans="1:25" s="64" customFormat="1" ht="39" customHeight="1" x14ac:dyDescent="0.2">
      <c r="A65" s="51" t="s">
        <v>46</v>
      </c>
      <c r="B65" s="52" t="s">
        <v>47</v>
      </c>
      <c r="C65" s="53" t="s">
        <v>75</v>
      </c>
      <c r="D65" s="54" t="s">
        <v>85</v>
      </c>
      <c r="E65" s="55" t="s">
        <v>73</v>
      </c>
      <c r="F65" s="56" t="s">
        <v>86</v>
      </c>
      <c r="G65" s="57">
        <v>1</v>
      </c>
      <c r="H65" s="84" t="s">
        <v>61</v>
      </c>
      <c r="I65" s="85" t="s">
        <v>62</v>
      </c>
      <c r="J65" s="59">
        <v>1</v>
      </c>
      <c r="K65" s="60">
        <v>0</v>
      </c>
      <c r="L65" s="61">
        <f>41372+2045749</f>
        <v>2087121</v>
      </c>
      <c r="M65" s="61">
        <f>100000</f>
        <v>100000</v>
      </c>
      <c r="N65" s="60">
        <f t="shared" si="1"/>
        <v>1987121</v>
      </c>
      <c r="O65" s="61">
        <f>1987121</f>
        <v>1987121</v>
      </c>
      <c r="P65" s="61">
        <v>0</v>
      </c>
      <c r="Q65" s="61">
        <v>0</v>
      </c>
      <c r="R65" s="60">
        <f t="shared" si="2"/>
        <v>0</v>
      </c>
      <c r="S65" s="61">
        <v>0</v>
      </c>
      <c r="T65" s="62">
        <v>0</v>
      </c>
      <c r="U65" s="61">
        <v>0</v>
      </c>
      <c r="V65" s="62">
        <v>0</v>
      </c>
      <c r="W65" s="61">
        <v>0</v>
      </c>
      <c r="X65" s="63">
        <v>0</v>
      </c>
      <c r="Y65" s="42"/>
    </row>
    <row r="66" spans="1:25" s="64" customFormat="1" ht="39" customHeight="1" x14ac:dyDescent="0.2">
      <c r="A66" s="51" t="s">
        <v>46</v>
      </c>
      <c r="B66" s="52" t="s">
        <v>47</v>
      </c>
      <c r="C66" s="53" t="s">
        <v>75</v>
      </c>
      <c r="D66" s="54" t="s">
        <v>85</v>
      </c>
      <c r="E66" s="55" t="s">
        <v>73</v>
      </c>
      <c r="F66" s="56" t="s">
        <v>86</v>
      </c>
      <c r="G66" s="57">
        <v>1</v>
      </c>
      <c r="H66" s="86" t="s">
        <v>61</v>
      </c>
      <c r="I66" s="87" t="s">
        <v>62</v>
      </c>
      <c r="J66" s="59">
        <v>3</v>
      </c>
      <c r="K66" s="60">
        <v>0</v>
      </c>
      <c r="L66" s="61">
        <f>100000</f>
        <v>100000</v>
      </c>
      <c r="M66" s="61">
        <v>0</v>
      </c>
      <c r="N66" s="60">
        <f t="shared" si="1"/>
        <v>100000</v>
      </c>
      <c r="O66" s="61">
        <f>100000-100000</f>
        <v>0</v>
      </c>
      <c r="P66" s="61">
        <v>0</v>
      </c>
      <c r="Q66" s="61">
        <v>0</v>
      </c>
      <c r="R66" s="60">
        <f t="shared" si="2"/>
        <v>100000</v>
      </c>
      <c r="S66" s="61">
        <f>58699.74</f>
        <v>58699.74</v>
      </c>
      <c r="T66" s="62">
        <f>S66/R66</f>
        <v>0.5869974</v>
      </c>
      <c r="U66" s="61">
        <v>0</v>
      </c>
      <c r="V66" s="62">
        <f t="shared" si="11"/>
        <v>0</v>
      </c>
      <c r="W66" s="61">
        <v>0</v>
      </c>
      <c r="X66" s="63">
        <f t="shared" si="12"/>
        <v>0</v>
      </c>
      <c r="Y66" s="42"/>
    </row>
    <row r="67" spans="1:25" s="42" customFormat="1" ht="9" customHeight="1" x14ac:dyDescent="0.2">
      <c r="A67" s="65"/>
      <c r="B67" s="66"/>
      <c r="C67" s="67"/>
      <c r="D67" s="68"/>
      <c r="E67" s="69"/>
      <c r="F67" s="70"/>
      <c r="G67" s="71"/>
      <c r="H67" s="67"/>
      <c r="I67" s="72"/>
      <c r="J67" s="73"/>
      <c r="K67" s="74"/>
      <c r="L67" s="75"/>
      <c r="M67" s="75"/>
      <c r="N67" s="74"/>
      <c r="O67" s="75"/>
      <c r="P67" s="75"/>
      <c r="Q67" s="75"/>
      <c r="R67" s="74"/>
      <c r="S67" s="75"/>
      <c r="T67" s="76"/>
      <c r="U67" s="75"/>
      <c r="V67" s="76"/>
      <c r="W67" s="75"/>
      <c r="X67" s="77"/>
    </row>
    <row r="68" spans="1:25" s="50" customFormat="1" ht="39" customHeight="1" x14ac:dyDescent="0.2">
      <c r="A68" s="78" t="s">
        <v>46</v>
      </c>
      <c r="B68" s="161" t="s">
        <v>47</v>
      </c>
      <c r="C68" s="162"/>
      <c r="D68" s="79" t="s">
        <v>87</v>
      </c>
      <c r="E68" s="80" t="s">
        <v>73</v>
      </c>
      <c r="F68" s="161" t="s">
        <v>88</v>
      </c>
      <c r="G68" s="163"/>
      <c r="H68" s="163"/>
      <c r="I68" s="163"/>
      <c r="J68" s="162"/>
      <c r="K68" s="81">
        <f>SUM(K69:K70)</f>
        <v>3219137</v>
      </c>
      <c r="L68" s="81">
        <f t="shared" ref="L68:S68" si="36">SUM(L69:L70)</f>
        <v>0</v>
      </c>
      <c r="M68" s="81">
        <f t="shared" si="36"/>
        <v>0</v>
      </c>
      <c r="N68" s="81">
        <f t="shared" si="36"/>
        <v>3219137</v>
      </c>
      <c r="O68" s="81">
        <f t="shared" si="36"/>
        <v>0</v>
      </c>
      <c r="P68" s="81">
        <f t="shared" si="36"/>
        <v>0</v>
      </c>
      <c r="Q68" s="81">
        <f t="shared" si="36"/>
        <v>0</v>
      </c>
      <c r="R68" s="81">
        <f t="shared" si="36"/>
        <v>3219137</v>
      </c>
      <c r="S68" s="81">
        <f t="shared" si="36"/>
        <v>948963.39999999991</v>
      </c>
      <c r="T68" s="82">
        <f>S68/R68</f>
        <v>0.2947881373175481</v>
      </c>
      <c r="U68" s="81">
        <f>SUM(U69:U70)</f>
        <v>948963.39999999991</v>
      </c>
      <c r="V68" s="82">
        <f>U68/R68</f>
        <v>0.2947881373175481</v>
      </c>
      <c r="W68" s="81">
        <f>SUM(W69:W70)</f>
        <v>948963.39999999991</v>
      </c>
      <c r="X68" s="83">
        <f>W68/R68</f>
        <v>0.2947881373175481</v>
      </c>
      <c r="Y68" s="49"/>
    </row>
    <row r="69" spans="1:25" s="64" customFormat="1" ht="39" customHeight="1" x14ac:dyDescent="0.2">
      <c r="A69" s="51" t="s">
        <v>46</v>
      </c>
      <c r="B69" s="52" t="s">
        <v>47</v>
      </c>
      <c r="C69" s="53" t="s">
        <v>75</v>
      </c>
      <c r="D69" s="54" t="s">
        <v>87</v>
      </c>
      <c r="E69" s="55" t="s">
        <v>73</v>
      </c>
      <c r="F69" s="56" t="s">
        <v>89</v>
      </c>
      <c r="G69" s="57">
        <v>1</v>
      </c>
      <c r="H69" s="53" t="s">
        <v>52</v>
      </c>
      <c r="I69" s="58" t="s">
        <v>53</v>
      </c>
      <c r="J69" s="59">
        <v>1</v>
      </c>
      <c r="K69" s="60">
        <v>3213137</v>
      </c>
      <c r="L69" s="61">
        <v>0</v>
      </c>
      <c r="M69" s="61">
        <v>0</v>
      </c>
      <c r="N69" s="60">
        <f t="shared" si="1"/>
        <v>3213137</v>
      </c>
      <c r="O69" s="61">
        <v>0</v>
      </c>
      <c r="P69" s="61">
        <v>0</v>
      </c>
      <c r="Q69" s="61">
        <v>0</v>
      </c>
      <c r="R69" s="60">
        <f t="shared" si="2"/>
        <v>3213137</v>
      </c>
      <c r="S69" s="61">
        <f>188597.33+189245.22+571120.85</f>
        <v>948963.39999999991</v>
      </c>
      <c r="T69" s="62">
        <f>S69/R69</f>
        <v>0.29533860523220762</v>
      </c>
      <c r="U69" s="61">
        <f>188597.33+189245.22+571120.85</f>
        <v>948963.39999999991</v>
      </c>
      <c r="V69" s="62">
        <f t="shared" si="11"/>
        <v>0.29533860523220762</v>
      </c>
      <c r="W69" s="61">
        <f>72449.9+116147.43+189245.22+571120.85</f>
        <v>948963.39999999991</v>
      </c>
      <c r="X69" s="63">
        <f t="shared" si="12"/>
        <v>0.29533860523220762</v>
      </c>
      <c r="Y69" s="42"/>
    </row>
    <row r="70" spans="1:25" s="64" customFormat="1" ht="39" customHeight="1" x14ac:dyDescent="0.2">
      <c r="A70" s="51" t="s">
        <v>46</v>
      </c>
      <c r="B70" s="52" t="s">
        <v>47</v>
      </c>
      <c r="C70" s="53" t="s">
        <v>75</v>
      </c>
      <c r="D70" s="54" t="s">
        <v>87</v>
      </c>
      <c r="E70" s="55" t="s">
        <v>73</v>
      </c>
      <c r="F70" s="56" t="s">
        <v>89</v>
      </c>
      <c r="G70" s="57">
        <v>1</v>
      </c>
      <c r="H70" s="53" t="s">
        <v>52</v>
      </c>
      <c r="I70" s="58" t="s">
        <v>53</v>
      </c>
      <c r="J70" s="59">
        <v>3</v>
      </c>
      <c r="K70" s="60">
        <v>6000</v>
      </c>
      <c r="L70" s="61">
        <v>0</v>
      </c>
      <c r="M70" s="61">
        <v>0</v>
      </c>
      <c r="N70" s="60">
        <f t="shared" si="1"/>
        <v>6000</v>
      </c>
      <c r="O70" s="61">
        <v>0</v>
      </c>
      <c r="P70" s="61">
        <v>0</v>
      </c>
      <c r="Q70" s="61">
        <v>0</v>
      </c>
      <c r="R70" s="60">
        <f t="shared" si="2"/>
        <v>6000</v>
      </c>
      <c r="S70" s="61">
        <v>0</v>
      </c>
      <c r="T70" s="62">
        <f>S70/R70</f>
        <v>0</v>
      </c>
      <c r="U70" s="61">
        <v>0</v>
      </c>
      <c r="V70" s="62">
        <f t="shared" si="11"/>
        <v>0</v>
      </c>
      <c r="W70" s="61">
        <v>0</v>
      </c>
      <c r="X70" s="63">
        <f t="shared" si="12"/>
        <v>0</v>
      </c>
      <c r="Y70" s="42"/>
    </row>
    <row r="71" spans="1:25" s="42" customFormat="1" ht="9" customHeight="1" x14ac:dyDescent="0.2">
      <c r="A71" s="65"/>
      <c r="B71" s="66"/>
      <c r="C71" s="67"/>
      <c r="D71" s="68"/>
      <c r="E71" s="69"/>
      <c r="F71" s="70"/>
      <c r="G71" s="71"/>
      <c r="H71" s="67"/>
      <c r="I71" s="72"/>
      <c r="J71" s="73"/>
      <c r="K71" s="74"/>
      <c r="L71" s="75"/>
      <c r="M71" s="75"/>
      <c r="N71" s="74"/>
      <c r="O71" s="75"/>
      <c r="P71" s="75"/>
      <c r="Q71" s="75"/>
      <c r="R71" s="74"/>
      <c r="S71" s="75"/>
      <c r="T71" s="76"/>
      <c r="U71" s="75"/>
      <c r="V71" s="76"/>
      <c r="W71" s="75"/>
      <c r="X71" s="77"/>
    </row>
    <row r="72" spans="1:25" s="50" customFormat="1" ht="39" customHeight="1" x14ac:dyDescent="0.2">
      <c r="A72" s="78" t="s">
        <v>46</v>
      </c>
      <c r="B72" s="161" t="s">
        <v>47</v>
      </c>
      <c r="C72" s="162"/>
      <c r="D72" s="79" t="s">
        <v>90</v>
      </c>
      <c r="E72" s="80" t="s">
        <v>73</v>
      </c>
      <c r="F72" s="161" t="s">
        <v>91</v>
      </c>
      <c r="G72" s="163"/>
      <c r="H72" s="163"/>
      <c r="I72" s="163"/>
      <c r="J72" s="162"/>
      <c r="K72" s="81">
        <f>SUM(K73:K73)</f>
        <v>10670912</v>
      </c>
      <c r="L72" s="81">
        <f t="shared" ref="L72:S72" si="37">SUM(L73:L73)</f>
        <v>0</v>
      </c>
      <c r="M72" s="81">
        <f t="shared" si="37"/>
        <v>0</v>
      </c>
      <c r="N72" s="81">
        <f t="shared" si="37"/>
        <v>10670912</v>
      </c>
      <c r="O72" s="81">
        <f t="shared" si="37"/>
        <v>0</v>
      </c>
      <c r="P72" s="81">
        <f t="shared" si="37"/>
        <v>0</v>
      </c>
      <c r="Q72" s="81">
        <f t="shared" si="37"/>
        <v>-4234692.72</v>
      </c>
      <c r="R72" s="81">
        <f t="shared" si="37"/>
        <v>6436219.2800000003</v>
      </c>
      <c r="S72" s="81">
        <f t="shared" si="37"/>
        <v>0</v>
      </c>
      <c r="T72" s="82">
        <f>S72/R72</f>
        <v>0</v>
      </c>
      <c r="U72" s="81">
        <f>SUM(U73:U73)</f>
        <v>0</v>
      </c>
      <c r="V72" s="82">
        <f>U72/R72</f>
        <v>0</v>
      </c>
      <c r="W72" s="81">
        <f>SUM(W73:W73)</f>
        <v>0</v>
      </c>
      <c r="X72" s="83">
        <f>W72/R72</f>
        <v>0</v>
      </c>
      <c r="Y72" s="49"/>
    </row>
    <row r="73" spans="1:25" s="64" customFormat="1" ht="39" customHeight="1" x14ac:dyDescent="0.2">
      <c r="A73" s="51" t="s">
        <v>46</v>
      </c>
      <c r="B73" s="52" t="s">
        <v>47</v>
      </c>
      <c r="C73" s="53" t="s">
        <v>75</v>
      </c>
      <c r="D73" s="54" t="s">
        <v>90</v>
      </c>
      <c r="E73" s="55" t="s">
        <v>73</v>
      </c>
      <c r="F73" s="56" t="s">
        <v>92</v>
      </c>
      <c r="G73" s="57">
        <v>1</v>
      </c>
      <c r="H73" s="53" t="s">
        <v>52</v>
      </c>
      <c r="I73" s="58" t="s">
        <v>53</v>
      </c>
      <c r="J73" s="59">
        <v>3</v>
      </c>
      <c r="K73" s="60">
        <v>10670912</v>
      </c>
      <c r="L73" s="61">
        <v>0</v>
      </c>
      <c r="M73" s="61">
        <v>0</v>
      </c>
      <c r="N73" s="60">
        <f t="shared" si="1"/>
        <v>10670912</v>
      </c>
      <c r="O73" s="61">
        <v>0</v>
      </c>
      <c r="P73" s="61">
        <v>0</v>
      </c>
      <c r="Q73" s="61">
        <f>-952553.38-876321.82-881351.93-674985.08-849480.51</f>
        <v>-4234692.72</v>
      </c>
      <c r="R73" s="60">
        <f t="shared" si="2"/>
        <v>6436219.2800000003</v>
      </c>
      <c r="S73" s="61">
        <v>0</v>
      </c>
      <c r="T73" s="62">
        <f>S73/R73</f>
        <v>0</v>
      </c>
      <c r="U73" s="61">
        <v>0</v>
      </c>
      <c r="V73" s="62">
        <f t="shared" si="11"/>
        <v>0</v>
      </c>
      <c r="W73" s="61">
        <v>0</v>
      </c>
      <c r="X73" s="63">
        <f t="shared" si="12"/>
        <v>0</v>
      </c>
      <c r="Y73" s="42"/>
    </row>
    <row r="74" spans="1:25" s="42" customFormat="1" ht="9" customHeight="1" x14ac:dyDescent="0.2">
      <c r="A74" s="65"/>
      <c r="B74" s="66"/>
      <c r="C74" s="67"/>
      <c r="D74" s="68"/>
      <c r="E74" s="69"/>
      <c r="F74" s="70"/>
      <c r="G74" s="71"/>
      <c r="H74" s="67"/>
      <c r="I74" s="72"/>
      <c r="J74" s="73"/>
      <c r="K74" s="74"/>
      <c r="L74" s="75"/>
      <c r="M74" s="75"/>
      <c r="N74" s="74"/>
      <c r="O74" s="75"/>
      <c r="P74" s="75"/>
      <c r="Q74" s="75"/>
      <c r="R74" s="74"/>
      <c r="S74" s="75"/>
      <c r="T74" s="76"/>
      <c r="U74" s="75"/>
      <c r="V74" s="76"/>
      <c r="W74" s="75"/>
      <c r="X74" s="77"/>
    </row>
    <row r="75" spans="1:25" s="50" customFormat="1" ht="39" customHeight="1" x14ac:dyDescent="0.2">
      <c r="A75" s="78" t="s">
        <v>46</v>
      </c>
      <c r="B75" s="161" t="s">
        <v>47</v>
      </c>
      <c r="C75" s="162"/>
      <c r="D75" s="79" t="s">
        <v>93</v>
      </c>
      <c r="E75" s="80" t="s">
        <v>73</v>
      </c>
      <c r="F75" s="161" t="s">
        <v>94</v>
      </c>
      <c r="G75" s="163"/>
      <c r="H75" s="163"/>
      <c r="I75" s="163"/>
      <c r="J75" s="162"/>
      <c r="K75" s="81">
        <f>SUM(K76:K76)</f>
        <v>10052530</v>
      </c>
      <c r="L75" s="81">
        <f t="shared" ref="L75:S75" si="38">SUM(L76:L76)</f>
        <v>0</v>
      </c>
      <c r="M75" s="81">
        <f t="shared" si="38"/>
        <v>0</v>
      </c>
      <c r="N75" s="81">
        <f t="shared" si="38"/>
        <v>10052530</v>
      </c>
      <c r="O75" s="81">
        <f t="shared" si="38"/>
        <v>0</v>
      </c>
      <c r="P75" s="81">
        <f t="shared" si="38"/>
        <v>0</v>
      </c>
      <c r="Q75" s="81">
        <f t="shared" si="38"/>
        <v>0</v>
      </c>
      <c r="R75" s="81">
        <f t="shared" si="38"/>
        <v>10052530</v>
      </c>
      <c r="S75" s="81">
        <f t="shared" si="38"/>
        <v>5587394.4900000002</v>
      </c>
      <c r="T75" s="82">
        <f>S75/R75</f>
        <v>0.55581972796897894</v>
      </c>
      <c r="U75" s="81">
        <f>SUM(U76:U76)</f>
        <v>4360756.18</v>
      </c>
      <c r="V75" s="82">
        <f>U75/R75</f>
        <v>0.43379688297373892</v>
      </c>
      <c r="W75" s="81">
        <f>SUM(W76:W76)</f>
        <v>4360263.91</v>
      </c>
      <c r="X75" s="83">
        <f>W75/R75</f>
        <v>0.43374791321189793</v>
      </c>
      <c r="Y75" s="49"/>
    </row>
    <row r="76" spans="1:25" s="64" customFormat="1" ht="39" customHeight="1" x14ac:dyDescent="0.2">
      <c r="A76" s="51" t="s">
        <v>46</v>
      </c>
      <c r="B76" s="52" t="s">
        <v>47</v>
      </c>
      <c r="C76" s="53" t="s">
        <v>75</v>
      </c>
      <c r="D76" s="54" t="s">
        <v>93</v>
      </c>
      <c r="E76" s="55" t="s">
        <v>73</v>
      </c>
      <c r="F76" s="56" t="s">
        <v>95</v>
      </c>
      <c r="G76" s="57">
        <v>1</v>
      </c>
      <c r="H76" s="53" t="s">
        <v>52</v>
      </c>
      <c r="I76" s="58" t="s">
        <v>53</v>
      </c>
      <c r="J76" s="59">
        <v>1</v>
      </c>
      <c r="K76" s="60">
        <v>10052530</v>
      </c>
      <c r="L76" s="61">
        <v>0</v>
      </c>
      <c r="M76" s="61">
        <v>0</v>
      </c>
      <c r="N76" s="60">
        <f t="shared" si="1"/>
        <v>10052530</v>
      </c>
      <c r="O76" s="61">
        <v>0</v>
      </c>
      <c r="P76" s="61">
        <v>0</v>
      </c>
      <c r="Q76" s="61">
        <v>0</v>
      </c>
      <c r="R76" s="60">
        <f t="shared" si="2"/>
        <v>10052530</v>
      </c>
      <c r="S76" s="61">
        <f>1474707.48+1441241.51+2671445.5</f>
        <v>5587394.4900000002</v>
      </c>
      <c r="T76" s="62">
        <f>S76/R76</f>
        <v>0.55581972796897894</v>
      </c>
      <c r="U76" s="61">
        <f>1474707.48+1441241.51+1444807.19</f>
        <v>4360756.18</v>
      </c>
      <c r="V76" s="62">
        <f t="shared" si="11"/>
        <v>0.43379688297373892</v>
      </c>
      <c r="W76" s="61">
        <f>1474707.48+1441241.51+1444314.92</f>
        <v>4360263.91</v>
      </c>
      <c r="X76" s="63">
        <f t="shared" si="12"/>
        <v>0.43374791321189793</v>
      </c>
      <c r="Y76" s="42"/>
    </row>
    <row r="77" spans="1:25" s="42" customFormat="1" ht="9" customHeight="1" x14ac:dyDescent="0.2">
      <c r="A77" s="65"/>
      <c r="B77" s="66"/>
      <c r="C77" s="67"/>
      <c r="D77" s="68"/>
      <c r="E77" s="69"/>
      <c r="F77" s="70"/>
      <c r="G77" s="71"/>
      <c r="H77" s="67"/>
      <c r="I77" s="72"/>
      <c r="J77" s="73"/>
      <c r="K77" s="74"/>
      <c r="L77" s="75"/>
      <c r="M77" s="75"/>
      <c r="N77" s="74"/>
      <c r="O77" s="75"/>
      <c r="P77" s="75"/>
      <c r="Q77" s="75"/>
      <c r="R77" s="74"/>
      <c r="S77" s="75"/>
      <c r="T77" s="76"/>
      <c r="U77" s="75"/>
      <c r="V77" s="76"/>
      <c r="W77" s="75"/>
      <c r="X77" s="77"/>
    </row>
    <row r="78" spans="1:25" s="50" customFormat="1" ht="39" customHeight="1" x14ac:dyDescent="0.2">
      <c r="A78" s="78" t="s">
        <v>46</v>
      </c>
      <c r="B78" s="161" t="s">
        <v>47</v>
      </c>
      <c r="C78" s="162"/>
      <c r="D78" s="79" t="s">
        <v>96</v>
      </c>
      <c r="E78" s="80" t="s">
        <v>73</v>
      </c>
      <c r="F78" s="161" t="s">
        <v>97</v>
      </c>
      <c r="G78" s="163"/>
      <c r="H78" s="163"/>
      <c r="I78" s="163"/>
      <c r="J78" s="162"/>
      <c r="K78" s="81">
        <f>SUM(K79:K79)</f>
        <v>8873904</v>
      </c>
      <c r="L78" s="81">
        <f t="shared" ref="L78:S78" si="39">SUM(L79:L79)</f>
        <v>0</v>
      </c>
      <c r="M78" s="81">
        <f t="shared" si="39"/>
        <v>0</v>
      </c>
      <c r="N78" s="81">
        <f t="shared" si="39"/>
        <v>8873904</v>
      </c>
      <c r="O78" s="81">
        <f t="shared" si="39"/>
        <v>0</v>
      </c>
      <c r="P78" s="81">
        <f t="shared" si="39"/>
        <v>0</v>
      </c>
      <c r="Q78" s="81">
        <f t="shared" si="39"/>
        <v>0</v>
      </c>
      <c r="R78" s="81">
        <f t="shared" si="39"/>
        <v>8873904</v>
      </c>
      <c r="S78" s="81">
        <f t="shared" si="39"/>
        <v>0</v>
      </c>
      <c r="T78" s="82">
        <f>S78/R78</f>
        <v>0</v>
      </c>
      <c r="U78" s="81">
        <f>SUM(U79:U79)</f>
        <v>0</v>
      </c>
      <c r="V78" s="82">
        <f>U78/R78</f>
        <v>0</v>
      </c>
      <c r="W78" s="81">
        <f>SUM(W79:W79)</f>
        <v>0</v>
      </c>
      <c r="X78" s="83">
        <f>W78/R78</f>
        <v>0</v>
      </c>
      <c r="Y78" s="49"/>
    </row>
    <row r="79" spans="1:25" s="64" customFormat="1" ht="39" customHeight="1" x14ac:dyDescent="0.2">
      <c r="A79" s="51" t="s">
        <v>46</v>
      </c>
      <c r="B79" s="52" t="s">
        <v>47</v>
      </c>
      <c r="C79" s="53" t="s">
        <v>75</v>
      </c>
      <c r="D79" s="54" t="s">
        <v>96</v>
      </c>
      <c r="E79" s="55" t="s">
        <v>73</v>
      </c>
      <c r="F79" s="56" t="s">
        <v>98</v>
      </c>
      <c r="G79" s="57">
        <v>1</v>
      </c>
      <c r="H79" s="53" t="s">
        <v>52</v>
      </c>
      <c r="I79" s="58" t="s">
        <v>53</v>
      </c>
      <c r="J79" s="59">
        <v>1</v>
      </c>
      <c r="K79" s="60">
        <v>8873904</v>
      </c>
      <c r="L79" s="61">
        <v>0</v>
      </c>
      <c r="M79" s="61">
        <v>0</v>
      </c>
      <c r="N79" s="60">
        <f t="shared" ref="N79" si="40">K79+L79-M79</f>
        <v>8873904</v>
      </c>
      <c r="O79" s="61">
        <v>0</v>
      </c>
      <c r="P79" s="61">
        <v>0</v>
      </c>
      <c r="Q79" s="61">
        <v>0</v>
      </c>
      <c r="R79" s="60">
        <f t="shared" ref="R79" si="41">N79-O79+P79+Q79</f>
        <v>8873904</v>
      </c>
      <c r="S79" s="61">
        <v>0</v>
      </c>
      <c r="T79" s="62">
        <f>S79/R79</f>
        <v>0</v>
      </c>
      <c r="U79" s="61">
        <v>0</v>
      </c>
      <c r="V79" s="62">
        <f t="shared" ref="V79" si="42">U79/R79</f>
        <v>0</v>
      </c>
      <c r="W79" s="61">
        <v>0</v>
      </c>
      <c r="X79" s="63">
        <f t="shared" ref="X79" si="43">W79/R79</f>
        <v>0</v>
      </c>
      <c r="Y79" s="42"/>
    </row>
    <row r="80" spans="1:25" s="42" customFormat="1" ht="9" customHeight="1" x14ac:dyDescent="0.2">
      <c r="A80" s="65"/>
      <c r="B80" s="66"/>
      <c r="C80" s="67"/>
      <c r="D80" s="68"/>
      <c r="E80" s="69"/>
      <c r="F80" s="70"/>
      <c r="G80" s="71"/>
      <c r="H80" s="67"/>
      <c r="I80" s="72"/>
      <c r="J80" s="73"/>
      <c r="K80" s="74"/>
      <c r="L80" s="75"/>
      <c r="M80" s="75"/>
      <c r="N80" s="74"/>
      <c r="O80" s="75"/>
      <c r="P80" s="75"/>
      <c r="Q80" s="75"/>
      <c r="R80" s="74"/>
      <c r="S80" s="75"/>
      <c r="T80" s="76"/>
      <c r="U80" s="75"/>
      <c r="V80" s="76"/>
      <c r="W80" s="75"/>
      <c r="X80" s="77"/>
    </row>
    <row r="81" spans="1:25" s="50" customFormat="1" ht="39" customHeight="1" x14ac:dyDescent="0.2">
      <c r="A81" s="78" t="s">
        <v>46</v>
      </c>
      <c r="B81" s="161" t="s">
        <v>47</v>
      </c>
      <c r="C81" s="162"/>
      <c r="D81" s="79" t="s">
        <v>99</v>
      </c>
      <c r="E81" s="80" t="s">
        <v>73</v>
      </c>
      <c r="F81" s="161" t="s">
        <v>100</v>
      </c>
      <c r="G81" s="163"/>
      <c r="H81" s="163"/>
      <c r="I81" s="163"/>
      <c r="J81" s="162"/>
      <c r="K81" s="81">
        <f>K82</f>
        <v>450000</v>
      </c>
      <c r="L81" s="81">
        <f t="shared" ref="L81:S81" si="44">L82</f>
        <v>0</v>
      </c>
      <c r="M81" s="81">
        <f t="shared" si="44"/>
        <v>0</v>
      </c>
      <c r="N81" s="81">
        <f t="shared" si="44"/>
        <v>450000</v>
      </c>
      <c r="O81" s="81">
        <f t="shared" si="44"/>
        <v>0</v>
      </c>
      <c r="P81" s="81">
        <f t="shared" si="44"/>
        <v>0</v>
      </c>
      <c r="Q81" s="81">
        <f t="shared" si="44"/>
        <v>0</v>
      </c>
      <c r="R81" s="81">
        <f t="shared" si="44"/>
        <v>450000</v>
      </c>
      <c r="S81" s="81">
        <f t="shared" si="44"/>
        <v>118391.17</v>
      </c>
      <c r="T81" s="82">
        <f>S81/R81</f>
        <v>0.26309148888888889</v>
      </c>
      <c r="U81" s="81">
        <f>U82</f>
        <v>118391.17</v>
      </c>
      <c r="V81" s="82">
        <f>U81/R81</f>
        <v>0.26309148888888889</v>
      </c>
      <c r="W81" s="81">
        <f>W82</f>
        <v>118391.17</v>
      </c>
      <c r="X81" s="83">
        <f>W81/R81</f>
        <v>0.26309148888888889</v>
      </c>
      <c r="Y81" s="49"/>
    </row>
    <row r="82" spans="1:25" s="64" customFormat="1" ht="39" customHeight="1" x14ac:dyDescent="0.2">
      <c r="A82" s="51" t="s">
        <v>46</v>
      </c>
      <c r="B82" s="52" t="s">
        <v>47</v>
      </c>
      <c r="C82" s="53" t="s">
        <v>101</v>
      </c>
      <c r="D82" s="54" t="s">
        <v>99</v>
      </c>
      <c r="E82" s="55" t="s">
        <v>73</v>
      </c>
      <c r="F82" s="56" t="s">
        <v>102</v>
      </c>
      <c r="G82" s="57">
        <v>1</v>
      </c>
      <c r="H82" s="53" t="s">
        <v>52</v>
      </c>
      <c r="I82" s="58" t="s">
        <v>53</v>
      </c>
      <c r="J82" s="59">
        <v>3</v>
      </c>
      <c r="K82" s="60">
        <v>450000</v>
      </c>
      <c r="L82" s="61">
        <v>0</v>
      </c>
      <c r="M82" s="61">
        <v>0</v>
      </c>
      <c r="N82" s="60">
        <f t="shared" si="1"/>
        <v>450000</v>
      </c>
      <c r="O82" s="61">
        <v>0</v>
      </c>
      <c r="P82" s="61">
        <v>0</v>
      </c>
      <c r="Q82" s="61">
        <v>0</v>
      </c>
      <c r="R82" s="60">
        <f t="shared" si="2"/>
        <v>450000</v>
      </c>
      <c r="S82" s="61">
        <f>29673.62+29694.58+59022.97</f>
        <v>118391.17</v>
      </c>
      <c r="T82" s="62">
        <f>S82/R82</f>
        <v>0.26309148888888889</v>
      </c>
      <c r="U82" s="61">
        <f>29673.62+29694.58+59022.97</f>
        <v>118391.17</v>
      </c>
      <c r="V82" s="62">
        <f t="shared" si="11"/>
        <v>0.26309148888888889</v>
      </c>
      <c r="W82" s="61">
        <f>29673.62+29694.58+59022.97</f>
        <v>118391.17</v>
      </c>
      <c r="X82" s="63">
        <f t="shared" si="12"/>
        <v>0.26309148888888889</v>
      </c>
      <c r="Y82" s="42"/>
    </row>
    <row r="83" spans="1:25" s="42" customFormat="1" ht="9" customHeight="1" x14ac:dyDescent="0.2">
      <c r="A83" s="65"/>
      <c r="B83" s="66"/>
      <c r="C83" s="67"/>
      <c r="D83" s="68"/>
      <c r="E83" s="69"/>
      <c r="F83" s="70"/>
      <c r="G83" s="71"/>
      <c r="H83" s="67"/>
      <c r="I83" s="72"/>
      <c r="J83" s="73"/>
      <c r="K83" s="74"/>
      <c r="L83" s="75"/>
      <c r="M83" s="75"/>
      <c r="N83" s="74"/>
      <c r="O83" s="75"/>
      <c r="P83" s="75"/>
      <c r="Q83" s="75"/>
      <c r="R83" s="74"/>
      <c r="S83" s="75"/>
      <c r="T83" s="76"/>
      <c r="U83" s="75"/>
      <c r="V83" s="76"/>
      <c r="W83" s="75"/>
      <c r="X83" s="77"/>
    </row>
    <row r="84" spans="1:25" s="50" customFormat="1" ht="39" customHeight="1" x14ac:dyDescent="0.2">
      <c r="A84" s="78" t="s">
        <v>46</v>
      </c>
      <c r="B84" s="161" t="s">
        <v>47</v>
      </c>
      <c r="C84" s="162"/>
      <c r="D84" s="79" t="s">
        <v>103</v>
      </c>
      <c r="E84" s="80" t="s">
        <v>73</v>
      </c>
      <c r="F84" s="161" t="s">
        <v>104</v>
      </c>
      <c r="G84" s="163"/>
      <c r="H84" s="163"/>
      <c r="I84" s="163"/>
      <c r="J84" s="162"/>
      <c r="K84" s="81">
        <f>K85</f>
        <v>50000</v>
      </c>
      <c r="L84" s="81">
        <f t="shared" ref="L84:S84" si="45">L85</f>
        <v>0</v>
      </c>
      <c r="M84" s="81">
        <f t="shared" si="45"/>
        <v>0</v>
      </c>
      <c r="N84" s="81">
        <f t="shared" si="45"/>
        <v>50000</v>
      </c>
      <c r="O84" s="81">
        <f t="shared" si="45"/>
        <v>0</v>
      </c>
      <c r="P84" s="81">
        <f t="shared" si="45"/>
        <v>0</v>
      </c>
      <c r="Q84" s="81">
        <f t="shared" si="45"/>
        <v>0</v>
      </c>
      <c r="R84" s="81">
        <f t="shared" si="45"/>
        <v>50000</v>
      </c>
      <c r="S84" s="81">
        <f t="shared" si="45"/>
        <v>20532.419999999998</v>
      </c>
      <c r="T84" s="82">
        <f>S84/R84</f>
        <v>0.41064839999999997</v>
      </c>
      <c r="U84" s="81">
        <f>U85</f>
        <v>20532.419999999998</v>
      </c>
      <c r="V84" s="82">
        <f>U84/R84</f>
        <v>0.41064839999999997</v>
      </c>
      <c r="W84" s="81">
        <f>W85</f>
        <v>20532.419999999998</v>
      </c>
      <c r="X84" s="83">
        <f>W84/R84</f>
        <v>0.41064839999999997</v>
      </c>
      <c r="Y84" s="49"/>
    </row>
    <row r="85" spans="1:25" s="64" customFormat="1" ht="39" customHeight="1" x14ac:dyDescent="0.2">
      <c r="A85" s="51" t="s">
        <v>46</v>
      </c>
      <c r="B85" s="52" t="s">
        <v>47</v>
      </c>
      <c r="C85" s="53" t="s">
        <v>101</v>
      </c>
      <c r="D85" s="54" t="s">
        <v>103</v>
      </c>
      <c r="E85" s="55" t="s">
        <v>73</v>
      </c>
      <c r="F85" s="56" t="s">
        <v>105</v>
      </c>
      <c r="G85" s="57">
        <v>1</v>
      </c>
      <c r="H85" s="53" t="s">
        <v>52</v>
      </c>
      <c r="I85" s="58" t="s">
        <v>53</v>
      </c>
      <c r="J85" s="59">
        <v>3</v>
      </c>
      <c r="K85" s="60">
        <v>50000</v>
      </c>
      <c r="L85" s="61">
        <v>0</v>
      </c>
      <c r="M85" s="61">
        <v>0</v>
      </c>
      <c r="N85" s="60">
        <f>K85+L85-M85</f>
        <v>50000</v>
      </c>
      <c r="O85" s="61">
        <v>0</v>
      </c>
      <c r="P85" s="61">
        <v>0</v>
      </c>
      <c r="Q85" s="61">
        <v>0</v>
      </c>
      <c r="R85" s="60">
        <f t="shared" si="2"/>
        <v>50000</v>
      </c>
      <c r="S85" s="61">
        <f>5055.49+5055.49+10421.44</f>
        <v>20532.419999999998</v>
      </c>
      <c r="T85" s="62">
        <f>S85/R85</f>
        <v>0.41064839999999997</v>
      </c>
      <c r="U85" s="61">
        <f>5055.49+5055.49+10421.44</f>
        <v>20532.419999999998</v>
      </c>
      <c r="V85" s="62">
        <f t="shared" si="11"/>
        <v>0.41064839999999997</v>
      </c>
      <c r="W85" s="61">
        <f>5055.49+5055.49+10421.44</f>
        <v>20532.419999999998</v>
      </c>
      <c r="X85" s="63">
        <f t="shared" si="12"/>
        <v>0.41064839999999997</v>
      </c>
      <c r="Y85" s="42"/>
    </row>
    <row r="86" spans="1:25" s="42" customFormat="1" ht="9" customHeight="1" x14ac:dyDescent="0.2">
      <c r="A86" s="65"/>
      <c r="B86" s="66"/>
      <c r="C86" s="67"/>
      <c r="D86" s="68"/>
      <c r="E86" s="69"/>
      <c r="F86" s="70"/>
      <c r="G86" s="71"/>
      <c r="H86" s="67"/>
      <c r="I86" s="72"/>
      <c r="J86" s="73"/>
      <c r="K86" s="74"/>
      <c r="L86" s="75"/>
      <c r="M86" s="75"/>
      <c r="N86" s="74"/>
      <c r="O86" s="75"/>
      <c r="P86" s="75"/>
      <c r="Q86" s="75"/>
      <c r="R86" s="74"/>
      <c r="S86" s="75"/>
      <c r="T86" s="76"/>
      <c r="U86" s="75"/>
      <c r="V86" s="76"/>
      <c r="W86" s="75"/>
      <c r="X86" s="77"/>
    </row>
    <row r="87" spans="1:25" s="50" customFormat="1" ht="39" customHeight="1" x14ac:dyDescent="0.2">
      <c r="A87" s="78" t="s">
        <v>46</v>
      </c>
      <c r="B87" s="161" t="s">
        <v>47</v>
      </c>
      <c r="C87" s="162"/>
      <c r="D87" s="79" t="s">
        <v>106</v>
      </c>
      <c r="E87" s="80" t="s">
        <v>73</v>
      </c>
      <c r="F87" s="161" t="s">
        <v>107</v>
      </c>
      <c r="G87" s="163"/>
      <c r="H87" s="163"/>
      <c r="I87" s="163"/>
      <c r="J87" s="162"/>
      <c r="K87" s="81">
        <f>K88</f>
        <v>25010327</v>
      </c>
      <c r="L87" s="81">
        <f t="shared" ref="L87:S87" si="46">L88</f>
        <v>0</v>
      </c>
      <c r="M87" s="81">
        <f t="shared" si="46"/>
        <v>0</v>
      </c>
      <c r="N87" s="81">
        <f t="shared" si="46"/>
        <v>25010327</v>
      </c>
      <c r="O87" s="81">
        <f t="shared" si="46"/>
        <v>0</v>
      </c>
      <c r="P87" s="81">
        <f t="shared" si="46"/>
        <v>0</v>
      </c>
      <c r="Q87" s="81">
        <f t="shared" si="46"/>
        <v>0</v>
      </c>
      <c r="R87" s="81">
        <f t="shared" si="46"/>
        <v>25010327</v>
      </c>
      <c r="S87" s="81">
        <f t="shared" si="46"/>
        <v>20265984.57</v>
      </c>
      <c r="T87" s="82">
        <f>S87/R87</f>
        <v>0.81030466215015906</v>
      </c>
      <c r="U87" s="81">
        <f>U88</f>
        <v>20265984.57</v>
      </c>
      <c r="V87" s="82">
        <f>U87/R87</f>
        <v>0.81030466215015906</v>
      </c>
      <c r="W87" s="81">
        <f>W88</f>
        <v>20265984.57</v>
      </c>
      <c r="X87" s="83">
        <f>W87/R87</f>
        <v>0.81030466215015906</v>
      </c>
      <c r="Y87" s="49"/>
    </row>
    <row r="88" spans="1:25" s="64" customFormat="1" ht="39" customHeight="1" x14ac:dyDescent="0.2">
      <c r="A88" s="51" t="s">
        <v>46</v>
      </c>
      <c r="B88" s="52" t="s">
        <v>47</v>
      </c>
      <c r="C88" s="53" t="s">
        <v>108</v>
      </c>
      <c r="D88" s="54" t="s">
        <v>106</v>
      </c>
      <c r="E88" s="55" t="s">
        <v>73</v>
      </c>
      <c r="F88" s="56" t="s">
        <v>107</v>
      </c>
      <c r="G88" s="57">
        <v>1</v>
      </c>
      <c r="H88" s="53" t="s">
        <v>52</v>
      </c>
      <c r="I88" s="58" t="s">
        <v>53</v>
      </c>
      <c r="J88" s="59">
        <v>3</v>
      </c>
      <c r="K88" s="60">
        <v>25010327</v>
      </c>
      <c r="L88" s="61">
        <v>0</v>
      </c>
      <c r="M88" s="61">
        <v>0</v>
      </c>
      <c r="N88" s="60">
        <f t="shared" ref="N88:N113" si="47">K88+L88-M88</f>
        <v>25010327</v>
      </c>
      <c r="O88" s="61">
        <v>0</v>
      </c>
      <c r="P88" s="61">
        <v>0</v>
      </c>
      <c r="Q88" s="61">
        <v>0</v>
      </c>
      <c r="R88" s="60">
        <f t="shared" si="2"/>
        <v>25010327</v>
      </c>
      <c r="S88" s="61">
        <f>4376782.32+4405763.8+1259.28+11482179.17</f>
        <v>20265984.57</v>
      </c>
      <c r="T88" s="62">
        <f>S88/R88</f>
        <v>0.81030466215015906</v>
      </c>
      <c r="U88" s="61">
        <f>4376782.32+4405763.8+1259.28+11482179.17</f>
        <v>20265984.57</v>
      </c>
      <c r="V88" s="62">
        <f t="shared" si="11"/>
        <v>0.81030466215015906</v>
      </c>
      <c r="W88" s="61">
        <f>4376782.32+4405763.8+1259.28+11482179.17</f>
        <v>20265984.57</v>
      </c>
      <c r="X88" s="63">
        <f t="shared" si="12"/>
        <v>0.81030466215015906</v>
      </c>
      <c r="Y88" s="42"/>
    </row>
    <row r="89" spans="1:25" s="42" customFormat="1" ht="9" customHeight="1" x14ac:dyDescent="0.2">
      <c r="A89" s="65"/>
      <c r="B89" s="66"/>
      <c r="C89" s="67"/>
      <c r="D89" s="68"/>
      <c r="E89" s="69"/>
      <c r="F89" s="70"/>
      <c r="G89" s="71"/>
      <c r="H89" s="67"/>
      <c r="I89" s="72"/>
      <c r="J89" s="73"/>
      <c r="K89" s="74"/>
      <c r="L89" s="75"/>
      <c r="M89" s="75"/>
      <c r="N89" s="74"/>
      <c r="O89" s="75"/>
      <c r="P89" s="75"/>
      <c r="Q89" s="75"/>
      <c r="R89" s="74"/>
      <c r="S89" s="75"/>
      <c r="T89" s="76"/>
      <c r="U89" s="75"/>
      <c r="V89" s="76"/>
      <c r="W89" s="75"/>
      <c r="X89" s="77"/>
    </row>
    <row r="90" spans="1:25" s="50" customFormat="1" ht="39" customHeight="1" x14ac:dyDescent="0.2">
      <c r="A90" s="78" t="s">
        <v>46</v>
      </c>
      <c r="B90" s="161" t="s">
        <v>47</v>
      </c>
      <c r="C90" s="162"/>
      <c r="D90" s="79" t="s">
        <v>109</v>
      </c>
      <c r="E90" s="80" t="s">
        <v>73</v>
      </c>
      <c r="F90" s="161" t="s">
        <v>110</v>
      </c>
      <c r="G90" s="163"/>
      <c r="H90" s="163"/>
      <c r="I90" s="163"/>
      <c r="J90" s="162"/>
      <c r="K90" s="81">
        <f>K91</f>
        <v>3299114</v>
      </c>
      <c r="L90" s="81">
        <f t="shared" ref="L90:S90" si="48">L91</f>
        <v>0</v>
      </c>
      <c r="M90" s="81">
        <f t="shared" si="48"/>
        <v>0</v>
      </c>
      <c r="N90" s="81">
        <f t="shared" si="48"/>
        <v>3299114</v>
      </c>
      <c r="O90" s="81">
        <f t="shared" si="48"/>
        <v>0</v>
      </c>
      <c r="P90" s="81">
        <f t="shared" si="48"/>
        <v>0</v>
      </c>
      <c r="Q90" s="81">
        <f t="shared" si="48"/>
        <v>0</v>
      </c>
      <c r="R90" s="81">
        <f t="shared" si="48"/>
        <v>3299114</v>
      </c>
      <c r="S90" s="81">
        <f t="shared" si="48"/>
        <v>2234306.16</v>
      </c>
      <c r="T90" s="82">
        <f>S90/R90</f>
        <v>0.67724430256123314</v>
      </c>
      <c r="U90" s="81">
        <f>U91</f>
        <v>2234306.16</v>
      </c>
      <c r="V90" s="82">
        <f>U90/R90</f>
        <v>0.67724430256123314</v>
      </c>
      <c r="W90" s="81">
        <f>W91</f>
        <v>2234306.16</v>
      </c>
      <c r="X90" s="83">
        <f>W90/R90</f>
        <v>0.67724430256123314</v>
      </c>
      <c r="Y90" s="49"/>
    </row>
    <row r="91" spans="1:25" s="64" customFormat="1" ht="39" customHeight="1" x14ac:dyDescent="0.2">
      <c r="A91" s="51" t="s">
        <v>46</v>
      </c>
      <c r="B91" s="52" t="s">
        <v>47</v>
      </c>
      <c r="C91" s="53" t="s">
        <v>108</v>
      </c>
      <c r="D91" s="54" t="s">
        <v>109</v>
      </c>
      <c r="E91" s="55" t="s">
        <v>73</v>
      </c>
      <c r="F91" s="56" t="s">
        <v>110</v>
      </c>
      <c r="G91" s="57">
        <v>1</v>
      </c>
      <c r="H91" s="53" t="s">
        <v>52</v>
      </c>
      <c r="I91" s="58" t="s">
        <v>53</v>
      </c>
      <c r="J91" s="59">
        <v>3</v>
      </c>
      <c r="K91" s="60">
        <v>3299114</v>
      </c>
      <c r="L91" s="61">
        <v>0</v>
      </c>
      <c r="M91" s="61">
        <v>0</v>
      </c>
      <c r="N91" s="60">
        <f t="shared" si="47"/>
        <v>3299114</v>
      </c>
      <c r="O91" s="61">
        <v>0</v>
      </c>
      <c r="P91" s="61">
        <v>0</v>
      </c>
      <c r="Q91" s="61">
        <v>0</v>
      </c>
      <c r="R91" s="60">
        <f t="shared" si="2"/>
        <v>3299114</v>
      </c>
      <c r="S91" s="61">
        <f>467536.32+470970.72+1295799.12</f>
        <v>2234306.16</v>
      </c>
      <c r="T91" s="62">
        <f>S91/R91</f>
        <v>0.67724430256123314</v>
      </c>
      <c r="U91" s="61">
        <f>467536.32+470970.72+1295799.12</f>
        <v>2234306.16</v>
      </c>
      <c r="V91" s="62">
        <f t="shared" si="11"/>
        <v>0.67724430256123314</v>
      </c>
      <c r="W91" s="61">
        <f>467536.32+470970.72+1295799.12</f>
        <v>2234306.16</v>
      </c>
      <c r="X91" s="63">
        <f t="shared" si="12"/>
        <v>0.67724430256123314</v>
      </c>
      <c r="Y91" s="42"/>
    </row>
    <row r="92" spans="1:25" s="42" customFormat="1" ht="9" customHeight="1" x14ac:dyDescent="0.2">
      <c r="A92" s="65"/>
      <c r="B92" s="66"/>
      <c r="C92" s="67"/>
      <c r="D92" s="68"/>
      <c r="E92" s="69"/>
      <c r="F92" s="70"/>
      <c r="G92" s="71"/>
      <c r="H92" s="67"/>
      <c r="I92" s="72"/>
      <c r="J92" s="73"/>
      <c r="K92" s="74"/>
      <c r="L92" s="75"/>
      <c r="M92" s="75"/>
      <c r="N92" s="74"/>
      <c r="O92" s="75"/>
      <c r="P92" s="75"/>
      <c r="Q92" s="75"/>
      <c r="R92" s="74"/>
      <c r="S92" s="75"/>
      <c r="T92" s="76"/>
      <c r="U92" s="75"/>
      <c r="V92" s="76"/>
      <c r="W92" s="75"/>
      <c r="X92" s="77"/>
    </row>
    <row r="93" spans="1:25" s="50" customFormat="1" ht="39" customHeight="1" x14ac:dyDescent="0.2">
      <c r="A93" s="78" t="s">
        <v>46</v>
      </c>
      <c r="B93" s="161" t="s">
        <v>47</v>
      </c>
      <c r="C93" s="162"/>
      <c r="D93" s="79" t="s">
        <v>111</v>
      </c>
      <c r="E93" s="80" t="s">
        <v>73</v>
      </c>
      <c r="F93" s="161" t="s">
        <v>112</v>
      </c>
      <c r="G93" s="163"/>
      <c r="H93" s="163"/>
      <c r="I93" s="163"/>
      <c r="J93" s="162"/>
      <c r="K93" s="81">
        <f>K94</f>
        <v>10771386</v>
      </c>
      <c r="L93" s="81">
        <f t="shared" ref="L93:S93" si="49">L94</f>
        <v>0</v>
      </c>
      <c r="M93" s="81">
        <f t="shared" si="49"/>
        <v>0</v>
      </c>
      <c r="N93" s="81">
        <f t="shared" si="49"/>
        <v>10771386</v>
      </c>
      <c r="O93" s="81">
        <f t="shared" si="49"/>
        <v>0</v>
      </c>
      <c r="P93" s="81">
        <f t="shared" si="49"/>
        <v>0</v>
      </c>
      <c r="Q93" s="81">
        <f t="shared" si="49"/>
        <v>0</v>
      </c>
      <c r="R93" s="81">
        <f t="shared" si="49"/>
        <v>10771386</v>
      </c>
      <c r="S93" s="81">
        <f t="shared" si="49"/>
        <v>6299242.9399999995</v>
      </c>
      <c r="T93" s="82">
        <f>S93/R93</f>
        <v>0.5848126638484592</v>
      </c>
      <c r="U93" s="81">
        <f>U94</f>
        <v>5042615.05</v>
      </c>
      <c r="V93" s="82">
        <f>U93/R93</f>
        <v>0.46814913605361463</v>
      </c>
      <c r="W93" s="81">
        <f>W94</f>
        <v>5042615.05</v>
      </c>
      <c r="X93" s="83">
        <f>W93/R93</f>
        <v>0.46814913605361463</v>
      </c>
      <c r="Y93" s="49"/>
    </row>
    <row r="94" spans="1:25" s="64" customFormat="1" ht="39" customHeight="1" x14ac:dyDescent="0.2">
      <c r="A94" s="51" t="s">
        <v>46</v>
      </c>
      <c r="B94" s="52" t="s">
        <v>47</v>
      </c>
      <c r="C94" s="53" t="s">
        <v>108</v>
      </c>
      <c r="D94" s="54" t="s">
        <v>111</v>
      </c>
      <c r="E94" s="55" t="s">
        <v>73</v>
      </c>
      <c r="F94" s="56" t="s">
        <v>112</v>
      </c>
      <c r="G94" s="57">
        <v>1</v>
      </c>
      <c r="H94" s="53" t="s">
        <v>52</v>
      </c>
      <c r="I94" s="58" t="s">
        <v>53</v>
      </c>
      <c r="J94" s="59">
        <v>3</v>
      </c>
      <c r="K94" s="60">
        <v>10771386</v>
      </c>
      <c r="L94" s="61">
        <v>0</v>
      </c>
      <c r="M94" s="61">
        <v>0</v>
      </c>
      <c r="N94" s="60">
        <f t="shared" si="47"/>
        <v>10771386</v>
      </c>
      <c r="O94" s="61">
        <v>0</v>
      </c>
      <c r="P94" s="61">
        <v>0</v>
      </c>
      <c r="Q94" s="61">
        <v>0</v>
      </c>
      <c r="R94" s="60">
        <f t="shared" si="2"/>
        <v>10771386</v>
      </c>
      <c r="S94" s="61">
        <f>1271243.16+1263057.84+3764941.94</f>
        <v>6299242.9399999995</v>
      </c>
      <c r="T94" s="62">
        <f>S94/R94</f>
        <v>0.5848126638484592</v>
      </c>
      <c r="U94" s="61">
        <f>1271243.16+1263057.84+2508314.05</f>
        <v>5042615.05</v>
      </c>
      <c r="V94" s="62">
        <f t="shared" si="11"/>
        <v>0.46814913605361463</v>
      </c>
      <c r="W94" s="61">
        <f>1271243.16+1263057.84+2508314.05</f>
        <v>5042615.05</v>
      </c>
      <c r="X94" s="63">
        <f t="shared" si="12"/>
        <v>0.46814913605361463</v>
      </c>
      <c r="Y94" s="42"/>
    </row>
    <row r="95" spans="1:25" s="42" customFormat="1" ht="9" customHeight="1" x14ac:dyDescent="0.2">
      <c r="A95" s="65"/>
      <c r="B95" s="66"/>
      <c r="C95" s="67"/>
      <c r="D95" s="68"/>
      <c r="E95" s="69"/>
      <c r="F95" s="70"/>
      <c r="G95" s="71"/>
      <c r="H95" s="67"/>
      <c r="I95" s="72"/>
      <c r="J95" s="73"/>
      <c r="K95" s="74"/>
      <c r="L95" s="75"/>
      <c r="M95" s="75"/>
      <c r="N95" s="74"/>
      <c r="O95" s="75"/>
      <c r="P95" s="75"/>
      <c r="Q95" s="75"/>
      <c r="R95" s="74"/>
      <c r="S95" s="75"/>
      <c r="T95" s="76"/>
      <c r="U95" s="75"/>
      <c r="V95" s="76"/>
      <c r="W95" s="75"/>
      <c r="X95" s="77"/>
    </row>
    <row r="96" spans="1:25" s="50" customFormat="1" ht="39" customHeight="1" x14ac:dyDescent="0.2">
      <c r="A96" s="78" t="s">
        <v>46</v>
      </c>
      <c r="B96" s="161" t="s">
        <v>47</v>
      </c>
      <c r="C96" s="162"/>
      <c r="D96" s="79" t="s">
        <v>113</v>
      </c>
      <c r="E96" s="80" t="s">
        <v>73</v>
      </c>
      <c r="F96" s="161" t="s">
        <v>114</v>
      </c>
      <c r="G96" s="163"/>
      <c r="H96" s="163"/>
      <c r="I96" s="163"/>
      <c r="J96" s="162"/>
      <c r="K96" s="81">
        <f>SUM(K97:K97)</f>
        <v>16000040</v>
      </c>
      <c r="L96" s="81">
        <f t="shared" ref="L96:S96" si="50">SUM(L97:L97)</f>
        <v>0</v>
      </c>
      <c r="M96" s="81">
        <f t="shared" si="50"/>
        <v>0</v>
      </c>
      <c r="N96" s="81">
        <f t="shared" si="50"/>
        <v>16000040</v>
      </c>
      <c r="O96" s="81">
        <f t="shared" si="50"/>
        <v>0</v>
      </c>
      <c r="P96" s="81">
        <f t="shared" si="50"/>
        <v>0</v>
      </c>
      <c r="Q96" s="81">
        <f t="shared" si="50"/>
        <v>0</v>
      </c>
      <c r="R96" s="81">
        <f t="shared" si="50"/>
        <v>16000040</v>
      </c>
      <c r="S96" s="81">
        <f t="shared" si="50"/>
        <v>6101840.4499999993</v>
      </c>
      <c r="T96" s="82">
        <f>S96/R96</f>
        <v>0.38136407471481315</v>
      </c>
      <c r="U96" s="81">
        <f>SUM(U97:U97)</f>
        <v>5018881.3900000006</v>
      </c>
      <c r="V96" s="82">
        <f>U96/R96</f>
        <v>0.31367930267674332</v>
      </c>
      <c r="W96" s="81">
        <f>SUM(W97:W97)</f>
        <v>5018881.3900000006</v>
      </c>
      <c r="X96" s="83">
        <f>W96/R96</f>
        <v>0.31367930267674332</v>
      </c>
      <c r="Y96" s="49"/>
    </row>
    <row r="97" spans="1:25" s="64" customFormat="1" ht="39" customHeight="1" x14ac:dyDescent="0.2">
      <c r="A97" s="51" t="s">
        <v>46</v>
      </c>
      <c r="B97" s="52" t="s">
        <v>47</v>
      </c>
      <c r="C97" s="53" t="s">
        <v>108</v>
      </c>
      <c r="D97" s="54" t="s">
        <v>113</v>
      </c>
      <c r="E97" s="55" t="s">
        <v>73</v>
      </c>
      <c r="F97" s="56" t="s">
        <v>114</v>
      </c>
      <c r="G97" s="57">
        <v>1</v>
      </c>
      <c r="H97" s="53" t="s">
        <v>52</v>
      </c>
      <c r="I97" s="58" t="s">
        <v>53</v>
      </c>
      <c r="J97" s="59">
        <v>3</v>
      </c>
      <c r="K97" s="60">
        <v>16000040</v>
      </c>
      <c r="L97" s="61">
        <v>0</v>
      </c>
      <c r="M97" s="61">
        <v>0</v>
      </c>
      <c r="N97" s="60">
        <f t="shared" si="47"/>
        <v>16000040</v>
      </c>
      <c r="O97" s="61">
        <v>0</v>
      </c>
      <c r="P97" s="61">
        <v>0</v>
      </c>
      <c r="Q97" s="61">
        <v>0</v>
      </c>
      <c r="R97" s="60">
        <f t="shared" si="2"/>
        <v>16000040</v>
      </c>
      <c r="S97" s="61">
        <f>1322527.14+1307613.05+3471700.26</f>
        <v>6101840.4499999993</v>
      </c>
      <c r="T97" s="62">
        <f>S97/R97</f>
        <v>0.38136407471481315</v>
      </c>
      <c r="U97" s="61">
        <f>1322527.14+1307613.05+2388741.2</f>
        <v>5018881.3900000006</v>
      </c>
      <c r="V97" s="62">
        <f t="shared" si="11"/>
        <v>0.31367930267674332</v>
      </c>
      <c r="W97" s="61">
        <f>1322527.14+1307613.05+2388741.2</f>
        <v>5018881.3900000006</v>
      </c>
      <c r="X97" s="63">
        <f t="shared" si="12"/>
        <v>0.31367930267674332</v>
      </c>
      <c r="Y97" s="42"/>
    </row>
    <row r="98" spans="1:25" s="42" customFormat="1" ht="9" customHeight="1" x14ac:dyDescent="0.2">
      <c r="A98" s="65"/>
      <c r="B98" s="66"/>
      <c r="C98" s="67"/>
      <c r="D98" s="68"/>
      <c r="E98" s="69"/>
      <c r="F98" s="70"/>
      <c r="G98" s="71"/>
      <c r="H98" s="67"/>
      <c r="I98" s="72"/>
      <c r="J98" s="73"/>
      <c r="K98" s="74"/>
      <c r="L98" s="75"/>
      <c r="M98" s="75"/>
      <c r="N98" s="74"/>
      <c r="O98" s="75"/>
      <c r="P98" s="75"/>
      <c r="Q98" s="75"/>
      <c r="R98" s="74"/>
      <c r="S98" s="75"/>
      <c r="T98" s="76"/>
      <c r="U98" s="75"/>
      <c r="V98" s="76"/>
      <c r="W98" s="75"/>
      <c r="X98" s="77"/>
    </row>
    <row r="99" spans="1:25" s="50" customFormat="1" ht="39" customHeight="1" x14ac:dyDescent="0.2">
      <c r="A99" s="78" t="s">
        <v>46</v>
      </c>
      <c r="B99" s="161" t="s">
        <v>47</v>
      </c>
      <c r="C99" s="162"/>
      <c r="D99" s="79" t="s">
        <v>115</v>
      </c>
      <c r="E99" s="80" t="s">
        <v>73</v>
      </c>
      <c r="F99" s="161" t="s">
        <v>116</v>
      </c>
      <c r="G99" s="163"/>
      <c r="H99" s="163"/>
      <c r="I99" s="163"/>
      <c r="J99" s="162"/>
      <c r="K99" s="81">
        <f>K100</f>
        <v>507895</v>
      </c>
      <c r="L99" s="81">
        <f t="shared" ref="L99:S99" si="51">L100</f>
        <v>0</v>
      </c>
      <c r="M99" s="81">
        <f t="shared" si="51"/>
        <v>0</v>
      </c>
      <c r="N99" s="81">
        <f t="shared" si="51"/>
        <v>507895</v>
      </c>
      <c r="O99" s="81">
        <f t="shared" si="51"/>
        <v>0</v>
      </c>
      <c r="P99" s="81">
        <f t="shared" si="51"/>
        <v>0</v>
      </c>
      <c r="Q99" s="81">
        <f t="shared" si="51"/>
        <v>0</v>
      </c>
      <c r="R99" s="81">
        <f t="shared" si="51"/>
        <v>507895</v>
      </c>
      <c r="S99" s="81">
        <f t="shared" si="51"/>
        <v>178642.4</v>
      </c>
      <c r="T99" s="82">
        <f>S99/R99</f>
        <v>0.35173096801504244</v>
      </c>
      <c r="U99" s="81">
        <f>U100</f>
        <v>178642.4</v>
      </c>
      <c r="V99" s="82">
        <f>U99/R99</f>
        <v>0.35173096801504244</v>
      </c>
      <c r="W99" s="81">
        <f>W100</f>
        <v>178642.4</v>
      </c>
      <c r="X99" s="83">
        <f>W99/R99</f>
        <v>0.35173096801504244</v>
      </c>
      <c r="Y99" s="49"/>
    </row>
    <row r="100" spans="1:25" s="64" customFormat="1" ht="39" customHeight="1" x14ac:dyDescent="0.2">
      <c r="A100" s="51" t="s">
        <v>46</v>
      </c>
      <c r="B100" s="52" t="s">
        <v>47</v>
      </c>
      <c r="C100" s="53" t="s">
        <v>108</v>
      </c>
      <c r="D100" s="54" t="s">
        <v>115</v>
      </c>
      <c r="E100" s="55" t="s">
        <v>73</v>
      </c>
      <c r="F100" s="56" t="s">
        <v>116</v>
      </c>
      <c r="G100" s="57">
        <v>1</v>
      </c>
      <c r="H100" s="53" t="s">
        <v>52</v>
      </c>
      <c r="I100" s="58" t="s">
        <v>53</v>
      </c>
      <c r="J100" s="59">
        <v>3</v>
      </c>
      <c r="K100" s="60">
        <v>507895</v>
      </c>
      <c r="L100" s="61">
        <v>0</v>
      </c>
      <c r="M100" s="61">
        <v>0</v>
      </c>
      <c r="N100" s="60">
        <f t="shared" si="47"/>
        <v>507895</v>
      </c>
      <c r="O100" s="61">
        <v>0</v>
      </c>
      <c r="P100" s="61">
        <v>0</v>
      </c>
      <c r="Q100" s="61">
        <v>0</v>
      </c>
      <c r="R100" s="60">
        <f t="shared" si="2"/>
        <v>507895</v>
      </c>
      <c r="S100" s="61">
        <f>41776.48+41150.08+95715.84</f>
        <v>178642.4</v>
      </c>
      <c r="T100" s="62">
        <f>S100/R100</f>
        <v>0.35173096801504244</v>
      </c>
      <c r="U100" s="61">
        <f>41776.48+41150.08+95715.84</f>
        <v>178642.4</v>
      </c>
      <c r="V100" s="62">
        <f t="shared" si="11"/>
        <v>0.35173096801504244</v>
      </c>
      <c r="W100" s="61">
        <f>41776.48+41150.08+95715.84</f>
        <v>178642.4</v>
      </c>
      <c r="X100" s="63">
        <f t="shared" si="12"/>
        <v>0.35173096801504244</v>
      </c>
      <c r="Y100" s="42"/>
    </row>
    <row r="101" spans="1:25" s="42" customFormat="1" ht="9" customHeight="1" x14ac:dyDescent="0.2">
      <c r="A101" s="65"/>
      <c r="B101" s="66"/>
      <c r="C101" s="67"/>
      <c r="D101" s="68"/>
      <c r="E101" s="69"/>
      <c r="F101" s="70"/>
      <c r="G101" s="71"/>
      <c r="H101" s="67"/>
      <c r="I101" s="72"/>
      <c r="J101" s="73"/>
      <c r="K101" s="74"/>
      <c r="L101" s="75"/>
      <c r="M101" s="75"/>
      <c r="N101" s="74"/>
      <c r="O101" s="75"/>
      <c r="P101" s="75"/>
      <c r="Q101" s="75"/>
      <c r="R101" s="74"/>
      <c r="S101" s="75"/>
      <c r="T101" s="76"/>
      <c r="U101" s="75"/>
      <c r="V101" s="76"/>
      <c r="W101" s="75"/>
      <c r="X101" s="77"/>
    </row>
    <row r="102" spans="1:25" s="50" customFormat="1" ht="39" customHeight="1" x14ac:dyDescent="0.2">
      <c r="A102" s="78" t="s">
        <v>46</v>
      </c>
      <c r="B102" s="161" t="s">
        <v>47</v>
      </c>
      <c r="C102" s="162"/>
      <c r="D102" s="79" t="s">
        <v>117</v>
      </c>
      <c r="E102" s="80" t="s">
        <v>73</v>
      </c>
      <c r="F102" s="161" t="s">
        <v>118</v>
      </c>
      <c r="G102" s="163"/>
      <c r="H102" s="163"/>
      <c r="I102" s="163"/>
      <c r="J102" s="162"/>
      <c r="K102" s="81">
        <f>K103</f>
        <v>1075396</v>
      </c>
      <c r="L102" s="81">
        <f t="shared" ref="L102:S102" si="52">L103</f>
        <v>0</v>
      </c>
      <c r="M102" s="81">
        <f t="shared" si="52"/>
        <v>0</v>
      </c>
      <c r="N102" s="81">
        <f t="shared" si="52"/>
        <v>1075396</v>
      </c>
      <c r="O102" s="81">
        <f t="shared" si="52"/>
        <v>0</v>
      </c>
      <c r="P102" s="81">
        <f t="shared" si="52"/>
        <v>0</v>
      </c>
      <c r="Q102" s="81">
        <f t="shared" si="52"/>
        <v>0</v>
      </c>
      <c r="R102" s="81">
        <f t="shared" si="52"/>
        <v>1075396</v>
      </c>
      <c r="S102" s="81">
        <f t="shared" si="52"/>
        <v>358339.38</v>
      </c>
      <c r="T102" s="82">
        <f>S102/R102</f>
        <v>0.33321621058661183</v>
      </c>
      <c r="U102" s="81">
        <f>U103</f>
        <v>185834.41999999998</v>
      </c>
      <c r="V102" s="82">
        <f>U102/R102</f>
        <v>0.17280557115704354</v>
      </c>
      <c r="W102" s="81">
        <f>W103</f>
        <v>185834.41999999998</v>
      </c>
      <c r="X102" s="83">
        <f>W102/R102</f>
        <v>0.17280557115704354</v>
      </c>
      <c r="Y102" s="49"/>
    </row>
    <row r="103" spans="1:25" s="64" customFormat="1" ht="39" customHeight="1" x14ac:dyDescent="0.2">
      <c r="A103" s="51" t="s">
        <v>46</v>
      </c>
      <c r="B103" s="52" t="s">
        <v>47</v>
      </c>
      <c r="C103" s="53" t="s">
        <v>108</v>
      </c>
      <c r="D103" s="54" t="s">
        <v>117</v>
      </c>
      <c r="E103" s="55" t="s">
        <v>73</v>
      </c>
      <c r="F103" s="56" t="s">
        <v>118</v>
      </c>
      <c r="G103" s="57">
        <v>1</v>
      </c>
      <c r="H103" s="53" t="s">
        <v>52</v>
      </c>
      <c r="I103" s="58" t="s">
        <v>53</v>
      </c>
      <c r="J103" s="59">
        <v>3</v>
      </c>
      <c r="K103" s="60">
        <v>1075396</v>
      </c>
      <c r="L103" s="61">
        <v>0</v>
      </c>
      <c r="M103" s="61">
        <v>0</v>
      </c>
      <c r="N103" s="60">
        <f t="shared" si="47"/>
        <v>1075396</v>
      </c>
      <c r="O103" s="61">
        <v>0</v>
      </c>
      <c r="P103" s="61">
        <v>0</v>
      </c>
      <c r="Q103" s="61">
        <v>0</v>
      </c>
      <c r="R103" s="60">
        <f t="shared" si="2"/>
        <v>1075396</v>
      </c>
      <c r="S103" s="61">
        <f>84226.92+84531.7+189580.76</f>
        <v>358339.38</v>
      </c>
      <c r="T103" s="62">
        <f>S103/R103</f>
        <v>0.33321621058661183</v>
      </c>
      <c r="U103" s="61">
        <f>84226.92+84531.7+17075.8</f>
        <v>185834.41999999998</v>
      </c>
      <c r="V103" s="62">
        <f t="shared" si="11"/>
        <v>0.17280557115704354</v>
      </c>
      <c r="W103" s="61">
        <f>84226.92+84531.7+17075.8</f>
        <v>185834.41999999998</v>
      </c>
      <c r="X103" s="63">
        <f t="shared" si="12"/>
        <v>0.17280557115704354</v>
      </c>
      <c r="Y103" s="42"/>
    </row>
    <row r="104" spans="1:25" s="42" customFormat="1" ht="9" customHeight="1" x14ac:dyDescent="0.2">
      <c r="A104" s="65"/>
      <c r="B104" s="66"/>
      <c r="C104" s="67"/>
      <c r="D104" s="68"/>
      <c r="E104" s="69"/>
      <c r="F104" s="70"/>
      <c r="G104" s="71"/>
      <c r="H104" s="67"/>
      <c r="I104" s="72"/>
      <c r="J104" s="73"/>
      <c r="K104" s="74"/>
      <c r="L104" s="75"/>
      <c r="M104" s="75"/>
      <c r="N104" s="74"/>
      <c r="O104" s="75"/>
      <c r="P104" s="75"/>
      <c r="Q104" s="75"/>
      <c r="R104" s="74"/>
      <c r="S104" s="75"/>
      <c r="T104" s="76"/>
      <c r="U104" s="75"/>
      <c r="V104" s="76"/>
      <c r="W104" s="75"/>
      <c r="X104" s="77"/>
    </row>
    <row r="105" spans="1:25" s="50" customFormat="1" ht="39" customHeight="1" x14ac:dyDescent="0.2">
      <c r="A105" s="78" t="s">
        <v>46</v>
      </c>
      <c r="B105" s="161" t="s">
        <v>47</v>
      </c>
      <c r="C105" s="162"/>
      <c r="D105" s="79" t="s">
        <v>119</v>
      </c>
      <c r="E105" s="80" t="s">
        <v>73</v>
      </c>
      <c r="F105" s="161" t="s">
        <v>120</v>
      </c>
      <c r="G105" s="163"/>
      <c r="H105" s="163"/>
      <c r="I105" s="163"/>
      <c r="J105" s="162"/>
      <c r="K105" s="81">
        <f>K106</f>
        <v>3000774</v>
      </c>
      <c r="L105" s="81">
        <f t="shared" ref="L105:S105" si="53">L106</f>
        <v>0</v>
      </c>
      <c r="M105" s="81">
        <f t="shared" si="53"/>
        <v>0</v>
      </c>
      <c r="N105" s="81">
        <f t="shared" si="53"/>
        <v>3000774</v>
      </c>
      <c r="O105" s="81">
        <f t="shared" si="53"/>
        <v>0</v>
      </c>
      <c r="P105" s="81">
        <f t="shared" si="53"/>
        <v>0</v>
      </c>
      <c r="Q105" s="81">
        <f t="shared" si="53"/>
        <v>0</v>
      </c>
      <c r="R105" s="81">
        <f t="shared" si="53"/>
        <v>3000774</v>
      </c>
      <c r="S105" s="81">
        <f t="shared" si="53"/>
        <v>1574062.29</v>
      </c>
      <c r="T105" s="82">
        <f>S105/R105</f>
        <v>0.52455209555934568</v>
      </c>
      <c r="U105" s="81">
        <f>U106</f>
        <v>788271.57</v>
      </c>
      <c r="V105" s="82">
        <f>U105/R105</f>
        <v>0.26268941613063829</v>
      </c>
      <c r="W105" s="81">
        <f>W106</f>
        <v>788271.57</v>
      </c>
      <c r="X105" s="83">
        <f>W105/R105</f>
        <v>0.26268941613063829</v>
      </c>
      <c r="Y105" s="49"/>
    </row>
    <row r="106" spans="1:25" s="64" customFormat="1" ht="39" customHeight="1" x14ac:dyDescent="0.2">
      <c r="A106" s="51" t="s">
        <v>46</v>
      </c>
      <c r="B106" s="52" t="s">
        <v>47</v>
      </c>
      <c r="C106" s="53" t="s">
        <v>108</v>
      </c>
      <c r="D106" s="54" t="s">
        <v>119</v>
      </c>
      <c r="E106" s="55" t="s">
        <v>73</v>
      </c>
      <c r="F106" s="56" t="s">
        <v>120</v>
      </c>
      <c r="G106" s="57">
        <v>1</v>
      </c>
      <c r="H106" s="53" t="s">
        <v>52</v>
      </c>
      <c r="I106" s="58" t="s">
        <v>53</v>
      </c>
      <c r="J106" s="59">
        <v>3</v>
      </c>
      <c r="K106" s="60">
        <v>3000774</v>
      </c>
      <c r="L106" s="61">
        <v>0</v>
      </c>
      <c r="M106" s="61">
        <v>0</v>
      </c>
      <c r="N106" s="60">
        <f t="shared" ref="N106" si="54">K106+L106-M106</f>
        <v>3000774</v>
      </c>
      <c r="O106" s="61">
        <v>0</v>
      </c>
      <c r="P106" s="61">
        <v>0</v>
      </c>
      <c r="Q106" s="61">
        <v>0</v>
      </c>
      <c r="R106" s="60">
        <f t="shared" ref="R106" si="55">N106-O106+P106+Q106</f>
        <v>3000774</v>
      </c>
      <c r="S106" s="61">
        <f>2480.85+1571581.44</f>
        <v>1574062.29</v>
      </c>
      <c r="T106" s="62">
        <f>S106/R106</f>
        <v>0.52455209555934568</v>
      </c>
      <c r="U106" s="61">
        <f>2480.85+785790.72</f>
        <v>788271.57</v>
      </c>
      <c r="V106" s="62">
        <f t="shared" ref="V106" si="56">U106/R106</f>
        <v>0.26268941613063829</v>
      </c>
      <c r="W106" s="61">
        <f>2480.85+785790.72</f>
        <v>788271.57</v>
      </c>
      <c r="X106" s="63">
        <f t="shared" ref="X106" si="57">W106/R106</f>
        <v>0.26268941613063829</v>
      </c>
      <c r="Y106" s="42"/>
    </row>
    <row r="107" spans="1:25" s="42" customFormat="1" ht="9" customHeight="1" x14ac:dyDescent="0.2">
      <c r="A107" s="65"/>
      <c r="B107" s="66"/>
      <c r="C107" s="67"/>
      <c r="D107" s="68"/>
      <c r="E107" s="69"/>
      <c r="F107" s="70"/>
      <c r="G107" s="71"/>
      <c r="H107" s="67"/>
      <c r="I107" s="72"/>
      <c r="J107" s="73"/>
      <c r="K107" s="74"/>
      <c r="L107" s="75"/>
      <c r="M107" s="75"/>
      <c r="N107" s="74"/>
      <c r="O107" s="75"/>
      <c r="P107" s="75"/>
      <c r="Q107" s="75"/>
      <c r="R107" s="74"/>
      <c r="S107" s="75"/>
      <c r="T107" s="76"/>
      <c r="U107" s="75"/>
      <c r="V107" s="76"/>
      <c r="W107" s="75"/>
      <c r="X107" s="77"/>
    </row>
    <row r="108" spans="1:25" s="50" customFormat="1" ht="39" customHeight="1" x14ac:dyDescent="0.2">
      <c r="A108" s="78" t="s">
        <v>46</v>
      </c>
      <c r="B108" s="161" t="s">
        <v>47</v>
      </c>
      <c r="C108" s="162"/>
      <c r="D108" s="79" t="s">
        <v>121</v>
      </c>
      <c r="E108" s="80" t="s">
        <v>73</v>
      </c>
      <c r="F108" s="161" t="s">
        <v>122</v>
      </c>
      <c r="G108" s="163"/>
      <c r="H108" s="163"/>
      <c r="I108" s="163"/>
      <c r="J108" s="162"/>
      <c r="K108" s="81">
        <f>K109</f>
        <v>464402</v>
      </c>
      <c r="L108" s="81">
        <f t="shared" ref="L108:S108" si="58">L109</f>
        <v>0</v>
      </c>
      <c r="M108" s="81">
        <f t="shared" si="58"/>
        <v>0</v>
      </c>
      <c r="N108" s="81">
        <f t="shared" si="58"/>
        <v>464402</v>
      </c>
      <c r="O108" s="81">
        <f t="shared" si="58"/>
        <v>0</v>
      </c>
      <c r="P108" s="81">
        <f t="shared" si="58"/>
        <v>0</v>
      </c>
      <c r="Q108" s="81">
        <f t="shared" si="58"/>
        <v>0</v>
      </c>
      <c r="R108" s="81">
        <f t="shared" si="58"/>
        <v>464402</v>
      </c>
      <c r="S108" s="81">
        <f t="shared" si="58"/>
        <v>110816.64</v>
      </c>
      <c r="T108" s="82">
        <f>S108/R108</f>
        <v>0.23862222815577883</v>
      </c>
      <c r="U108" s="81">
        <f>U109</f>
        <v>74297.52</v>
      </c>
      <c r="V108" s="82">
        <f>U108/R108</f>
        <v>0.15998535751353354</v>
      </c>
      <c r="W108" s="81">
        <f>W109</f>
        <v>74297.52</v>
      </c>
      <c r="X108" s="83">
        <f>W108/R108</f>
        <v>0.15998535751353354</v>
      </c>
      <c r="Y108" s="49"/>
    </row>
    <row r="109" spans="1:25" s="64" customFormat="1" ht="39" customHeight="1" x14ac:dyDescent="0.2">
      <c r="A109" s="51" t="s">
        <v>46</v>
      </c>
      <c r="B109" s="52" t="s">
        <v>47</v>
      </c>
      <c r="C109" s="53" t="s">
        <v>108</v>
      </c>
      <c r="D109" s="54" t="s">
        <v>121</v>
      </c>
      <c r="E109" s="55" t="s">
        <v>73</v>
      </c>
      <c r="F109" s="56" t="s">
        <v>122</v>
      </c>
      <c r="G109" s="57">
        <v>1</v>
      </c>
      <c r="H109" s="53" t="s">
        <v>52</v>
      </c>
      <c r="I109" s="58" t="s">
        <v>53</v>
      </c>
      <c r="J109" s="59">
        <v>3</v>
      </c>
      <c r="K109" s="60">
        <v>464402</v>
      </c>
      <c r="L109" s="61">
        <v>0</v>
      </c>
      <c r="M109" s="61">
        <v>0</v>
      </c>
      <c r="N109" s="60">
        <f t="shared" ref="N109" si="59">K109+L109-M109</f>
        <v>464402</v>
      </c>
      <c r="O109" s="61">
        <v>0</v>
      </c>
      <c r="P109" s="61">
        <v>0</v>
      </c>
      <c r="Q109" s="61">
        <v>0</v>
      </c>
      <c r="R109" s="60">
        <f t="shared" ref="R109" si="60">N109-O109+P109+Q109</f>
        <v>464402</v>
      </c>
      <c r="S109" s="61">
        <f>110816.64</f>
        <v>110816.64</v>
      </c>
      <c r="T109" s="62">
        <f>S109/R109</f>
        <v>0.23862222815577883</v>
      </c>
      <c r="U109" s="61">
        <f>74297.52</f>
        <v>74297.52</v>
      </c>
      <c r="V109" s="62">
        <f t="shared" ref="V109" si="61">U109/R109</f>
        <v>0.15998535751353354</v>
      </c>
      <c r="W109" s="61">
        <f>74297.52</f>
        <v>74297.52</v>
      </c>
      <c r="X109" s="63">
        <f t="shared" ref="X109" si="62">W109/R109</f>
        <v>0.15998535751353354</v>
      </c>
      <c r="Y109" s="42"/>
    </row>
    <row r="110" spans="1:25" s="42" customFormat="1" ht="9" customHeight="1" x14ac:dyDescent="0.2">
      <c r="A110" s="65"/>
      <c r="B110" s="66"/>
      <c r="C110" s="67"/>
      <c r="D110" s="68"/>
      <c r="E110" s="69"/>
      <c r="F110" s="70"/>
      <c r="G110" s="71"/>
      <c r="H110" s="67"/>
      <c r="I110" s="72"/>
      <c r="J110" s="73"/>
      <c r="K110" s="74"/>
      <c r="L110" s="75"/>
      <c r="M110" s="75"/>
      <c r="N110" s="74"/>
      <c r="O110" s="75"/>
      <c r="P110" s="75"/>
      <c r="Q110" s="75"/>
      <c r="R110" s="74"/>
      <c r="S110" s="75"/>
      <c r="T110" s="76"/>
      <c r="U110" s="75"/>
      <c r="V110" s="76"/>
      <c r="W110" s="75"/>
      <c r="X110" s="77"/>
    </row>
    <row r="111" spans="1:25" s="50" customFormat="1" ht="39" customHeight="1" x14ac:dyDescent="0.2">
      <c r="A111" s="78" t="s">
        <v>46</v>
      </c>
      <c r="B111" s="161" t="s">
        <v>47</v>
      </c>
      <c r="C111" s="162"/>
      <c r="D111" s="79" t="s">
        <v>123</v>
      </c>
      <c r="E111" s="80" t="s">
        <v>124</v>
      </c>
      <c r="F111" s="161" t="s">
        <v>125</v>
      </c>
      <c r="G111" s="163"/>
      <c r="H111" s="163"/>
      <c r="I111" s="163"/>
      <c r="J111" s="162"/>
      <c r="K111" s="81">
        <f>SUM(K112:K113)</f>
        <v>0</v>
      </c>
      <c r="L111" s="81">
        <f t="shared" ref="L111:S111" si="63">SUM(L112:L113)</f>
        <v>0</v>
      </c>
      <c r="M111" s="81">
        <f t="shared" si="63"/>
        <v>0</v>
      </c>
      <c r="N111" s="81">
        <f t="shared" si="63"/>
        <v>0</v>
      </c>
      <c r="O111" s="81">
        <f t="shared" si="63"/>
        <v>0</v>
      </c>
      <c r="P111" s="81">
        <f t="shared" si="63"/>
        <v>0</v>
      </c>
      <c r="Q111" s="81">
        <f t="shared" si="63"/>
        <v>0</v>
      </c>
      <c r="R111" s="81">
        <f t="shared" si="63"/>
        <v>0</v>
      </c>
      <c r="S111" s="81">
        <f t="shared" si="63"/>
        <v>0</v>
      </c>
      <c r="T111" s="82">
        <v>0</v>
      </c>
      <c r="U111" s="81">
        <f>SUM(U112:U113)</f>
        <v>0</v>
      </c>
      <c r="V111" s="82">
        <v>0</v>
      </c>
      <c r="W111" s="81">
        <f>SUM(W112:W113)</f>
        <v>0</v>
      </c>
      <c r="X111" s="83">
        <v>0</v>
      </c>
      <c r="Y111" s="49"/>
    </row>
    <row r="112" spans="1:25" s="64" customFormat="1" ht="39" customHeight="1" x14ac:dyDescent="0.2">
      <c r="A112" s="51" t="s">
        <v>46</v>
      </c>
      <c r="B112" s="52" t="s">
        <v>47</v>
      </c>
      <c r="C112" s="53" t="s">
        <v>126</v>
      </c>
      <c r="D112" s="54" t="s">
        <v>127</v>
      </c>
      <c r="E112" s="55" t="s">
        <v>124</v>
      </c>
      <c r="F112" s="56" t="s">
        <v>128</v>
      </c>
      <c r="G112" s="57">
        <v>2</v>
      </c>
      <c r="H112" s="53" t="s">
        <v>68</v>
      </c>
      <c r="I112" s="58" t="s">
        <v>69</v>
      </c>
      <c r="J112" s="59">
        <v>3</v>
      </c>
      <c r="K112" s="60">
        <v>0</v>
      </c>
      <c r="L112" s="61">
        <v>0</v>
      </c>
      <c r="M112" s="61">
        <v>0</v>
      </c>
      <c r="N112" s="60">
        <f t="shared" si="47"/>
        <v>0</v>
      </c>
      <c r="O112" s="61">
        <v>0</v>
      </c>
      <c r="P112" s="61">
        <v>0</v>
      </c>
      <c r="Q112" s="61">
        <f>5929305-5929305</f>
        <v>0</v>
      </c>
      <c r="R112" s="60">
        <f t="shared" si="2"/>
        <v>0</v>
      </c>
      <c r="S112" s="61">
        <v>0</v>
      </c>
      <c r="T112" s="62">
        <v>0</v>
      </c>
      <c r="U112" s="61">
        <v>0</v>
      </c>
      <c r="V112" s="62">
        <v>0</v>
      </c>
      <c r="W112" s="61">
        <v>0</v>
      </c>
      <c r="X112" s="63">
        <v>0</v>
      </c>
      <c r="Y112" s="42"/>
    </row>
    <row r="113" spans="1:25" s="64" customFormat="1" ht="39" customHeight="1" thickBot="1" x14ac:dyDescent="0.25">
      <c r="A113" s="51" t="s">
        <v>46</v>
      </c>
      <c r="B113" s="52" t="s">
        <v>47</v>
      </c>
      <c r="C113" s="53" t="s">
        <v>126</v>
      </c>
      <c r="D113" s="54" t="s">
        <v>127</v>
      </c>
      <c r="E113" s="55" t="s">
        <v>73</v>
      </c>
      <c r="F113" s="56" t="s">
        <v>128</v>
      </c>
      <c r="G113" s="57">
        <v>2</v>
      </c>
      <c r="H113" s="53" t="s">
        <v>68</v>
      </c>
      <c r="I113" s="58" t="s">
        <v>69</v>
      </c>
      <c r="J113" s="59">
        <v>4</v>
      </c>
      <c r="K113" s="60">
        <v>0</v>
      </c>
      <c r="L113" s="61">
        <v>0</v>
      </c>
      <c r="M113" s="61">
        <v>0</v>
      </c>
      <c r="N113" s="60">
        <f t="shared" si="47"/>
        <v>0</v>
      </c>
      <c r="O113" s="61">
        <v>0</v>
      </c>
      <c r="P113" s="61">
        <v>0</v>
      </c>
      <c r="Q113" s="61">
        <f>50000-50000</f>
        <v>0</v>
      </c>
      <c r="R113" s="60">
        <f t="shared" ref="R113" si="64">N113-O113+P113+Q113</f>
        <v>0</v>
      </c>
      <c r="S113" s="61">
        <v>0</v>
      </c>
      <c r="T113" s="62">
        <v>0</v>
      </c>
      <c r="U113" s="61">
        <v>0</v>
      </c>
      <c r="V113" s="62">
        <v>0</v>
      </c>
      <c r="W113" s="61">
        <v>0</v>
      </c>
      <c r="X113" s="63">
        <v>0</v>
      </c>
      <c r="Y113" s="42"/>
    </row>
    <row r="114" spans="1:25" s="50" customFormat="1" ht="39" customHeight="1" thickBot="1" x14ac:dyDescent="0.25">
      <c r="A114" s="176" t="s">
        <v>129</v>
      </c>
      <c r="B114" s="177"/>
      <c r="C114" s="177"/>
      <c r="D114" s="177"/>
      <c r="E114" s="177"/>
      <c r="F114" s="177"/>
      <c r="G114" s="177"/>
      <c r="H114" s="177"/>
      <c r="I114" s="177"/>
      <c r="J114" s="178"/>
      <c r="K114" s="88">
        <f t="shared" ref="K114:R114" si="65">K13+K17+K21+K25+K29+K33+K38+K44+K49+K55+K62+K68+K72+K75+K78+K81+K84+K87+K90+K93+K96+K99+K102+K105+K108+K111</f>
        <v>1077418943</v>
      </c>
      <c r="L114" s="88">
        <f t="shared" si="65"/>
        <v>25910392.710000001</v>
      </c>
      <c r="M114" s="88">
        <f t="shared" si="65"/>
        <v>300000</v>
      </c>
      <c r="N114" s="88">
        <f t="shared" si="65"/>
        <v>1103029335.71</v>
      </c>
      <c r="O114" s="88">
        <f t="shared" si="65"/>
        <v>25437594.32</v>
      </c>
      <c r="P114" s="88">
        <f t="shared" si="65"/>
        <v>0</v>
      </c>
      <c r="Q114" s="88">
        <f t="shared" si="65"/>
        <v>-5381229.1299999999</v>
      </c>
      <c r="R114" s="88">
        <f t="shared" si="65"/>
        <v>1072210512.2599999</v>
      </c>
      <c r="S114" s="88">
        <f>S13+S17+S21+S25+S29+S33+S38+S44+S49+S55+S62+S68+S72+S75+S78+S81+S84+S87+S90+S93+S96+S99+S102+S105+S108+S111</f>
        <v>410288885.5</v>
      </c>
      <c r="T114" s="89">
        <f>S114/R114</f>
        <v>0.38265702565739185</v>
      </c>
      <c r="U114" s="88">
        <f>U13+U17+U21+U25+U29+U33+U38+U44+U49+U55+U62+U68+U72+U75+U78+U81+U84+U87+U90+U93+U96+U99+U102+U105+U108+U111</f>
        <v>377881671.56</v>
      </c>
      <c r="V114" s="89">
        <f>U114/R114</f>
        <v>0.35243235096017006</v>
      </c>
      <c r="W114" s="88">
        <f>W13+W17+W21+W25+W29+W33+W38+W44+W49+W55+W62+W68+W72+W75+W78+W81+W84+W87+W90+W93+W96+W99+W102+W105+W108+W111</f>
        <v>361954303.19</v>
      </c>
      <c r="X114" s="90">
        <f>W114/R114</f>
        <v>0.33757764828016334</v>
      </c>
      <c r="Y114" s="49"/>
    </row>
    <row r="115" spans="1:25" s="42" customFormat="1" ht="12" customHeight="1" thickBot="1" x14ac:dyDescent="0.25">
      <c r="A115" s="30"/>
      <c r="B115" s="31"/>
      <c r="C115" s="32"/>
      <c r="D115" s="33"/>
      <c r="E115" s="34"/>
      <c r="F115" s="35"/>
      <c r="G115" s="36"/>
      <c r="H115" s="32"/>
      <c r="I115" s="37"/>
      <c r="J115" s="38"/>
      <c r="K115" s="39"/>
      <c r="L115" s="40"/>
      <c r="M115" s="40"/>
      <c r="N115" s="39"/>
      <c r="O115" s="40"/>
      <c r="P115" s="40"/>
      <c r="Q115" s="40"/>
      <c r="R115" s="39"/>
      <c r="S115" s="40"/>
      <c r="T115" s="41"/>
      <c r="U115" s="40"/>
      <c r="V115" s="41"/>
      <c r="W115" s="40"/>
      <c r="X115" s="41"/>
    </row>
    <row r="116" spans="1:25" s="50" customFormat="1" ht="39" customHeight="1" x14ac:dyDescent="0.2">
      <c r="A116" s="43" t="s">
        <v>130</v>
      </c>
      <c r="B116" s="158" t="s">
        <v>131</v>
      </c>
      <c r="C116" s="159"/>
      <c r="D116" s="44" t="s">
        <v>132</v>
      </c>
      <c r="E116" s="45" t="s">
        <v>49</v>
      </c>
      <c r="F116" s="158" t="s">
        <v>133</v>
      </c>
      <c r="G116" s="160"/>
      <c r="H116" s="160"/>
      <c r="I116" s="160"/>
      <c r="J116" s="159"/>
      <c r="K116" s="46">
        <f>SUM(K117:K120)</f>
        <v>112000</v>
      </c>
      <c r="L116" s="46">
        <f t="shared" ref="L116:S116" si="66">SUM(L117:L120)</f>
        <v>695987.94</v>
      </c>
      <c r="M116" s="46">
        <f t="shared" si="66"/>
        <v>0</v>
      </c>
      <c r="N116" s="46">
        <f t="shared" si="66"/>
        <v>807987.94</v>
      </c>
      <c r="O116" s="46">
        <f t="shared" si="66"/>
        <v>0</v>
      </c>
      <c r="P116" s="46">
        <f t="shared" si="66"/>
        <v>0</v>
      </c>
      <c r="Q116" s="46">
        <f t="shared" si="66"/>
        <v>0</v>
      </c>
      <c r="R116" s="46">
        <f t="shared" si="66"/>
        <v>807987.94</v>
      </c>
      <c r="S116" s="46">
        <f t="shared" si="66"/>
        <v>105709.79</v>
      </c>
      <c r="T116" s="47">
        <f>S116/R116</f>
        <v>0.1308309007681476</v>
      </c>
      <c r="U116" s="46">
        <f>SUM(U117:U120)</f>
        <v>105253.22</v>
      </c>
      <c r="V116" s="47">
        <f>U116/R116</f>
        <v>0.13026583045286544</v>
      </c>
      <c r="W116" s="46">
        <f>SUM(W117:W120)</f>
        <v>104168.36</v>
      </c>
      <c r="X116" s="48">
        <f>W116/R116</f>
        <v>0.12892316189768874</v>
      </c>
      <c r="Y116" s="49"/>
    </row>
    <row r="117" spans="1:25" s="64" customFormat="1" ht="39" customHeight="1" x14ac:dyDescent="0.2">
      <c r="A117" s="91" t="s">
        <v>130</v>
      </c>
      <c r="B117" s="52" t="s">
        <v>131</v>
      </c>
      <c r="C117" s="53" t="s">
        <v>51</v>
      </c>
      <c r="D117" s="92" t="s">
        <v>132</v>
      </c>
      <c r="E117" s="93" t="s">
        <v>49</v>
      </c>
      <c r="F117" s="52" t="s">
        <v>133</v>
      </c>
      <c r="G117" s="94">
        <v>1</v>
      </c>
      <c r="H117" s="53" t="s">
        <v>52</v>
      </c>
      <c r="I117" s="58" t="s">
        <v>53</v>
      </c>
      <c r="J117" s="95">
        <v>4</v>
      </c>
      <c r="K117" s="61">
        <v>20000</v>
      </c>
      <c r="L117" s="61">
        <v>0</v>
      </c>
      <c r="M117" s="61">
        <v>0</v>
      </c>
      <c r="N117" s="61">
        <f>K117+L117-M117</f>
        <v>20000</v>
      </c>
      <c r="O117" s="61">
        <v>0</v>
      </c>
      <c r="P117" s="61">
        <v>0</v>
      </c>
      <c r="Q117" s="61">
        <v>0</v>
      </c>
      <c r="R117" s="61">
        <f>N117-O117+P117+Q117</f>
        <v>20000</v>
      </c>
      <c r="S117" s="61">
        <v>0</v>
      </c>
      <c r="T117" s="62">
        <f>S117/R117</f>
        <v>0</v>
      </c>
      <c r="U117" s="61">
        <v>0</v>
      </c>
      <c r="V117" s="62">
        <f t="shared" ref="V117:V120" si="67">U117/R117</f>
        <v>0</v>
      </c>
      <c r="W117" s="61">
        <v>0</v>
      </c>
      <c r="X117" s="63">
        <f t="shared" ref="X117:X120" si="68">W117/R117</f>
        <v>0</v>
      </c>
      <c r="Y117" s="42"/>
    </row>
    <row r="118" spans="1:25" s="64" customFormat="1" ht="39" customHeight="1" x14ac:dyDescent="0.2">
      <c r="A118" s="91" t="s">
        <v>130</v>
      </c>
      <c r="B118" s="52" t="s">
        <v>131</v>
      </c>
      <c r="C118" s="53" t="s">
        <v>51</v>
      </c>
      <c r="D118" s="92" t="s">
        <v>132</v>
      </c>
      <c r="E118" s="93" t="s">
        <v>49</v>
      </c>
      <c r="F118" s="52" t="s">
        <v>133</v>
      </c>
      <c r="G118" s="94">
        <v>1</v>
      </c>
      <c r="H118" s="96" t="s">
        <v>134</v>
      </c>
      <c r="I118" s="97" t="s">
        <v>135</v>
      </c>
      <c r="J118" s="95">
        <v>3</v>
      </c>
      <c r="K118" s="61">
        <v>92000</v>
      </c>
      <c r="L118" s="61">
        <v>0</v>
      </c>
      <c r="M118" s="61">
        <v>0</v>
      </c>
      <c r="N118" s="61">
        <f t="shared" ref="N118:N120" si="69">K118+L118-M118</f>
        <v>92000</v>
      </c>
      <c r="O118" s="61">
        <v>0</v>
      </c>
      <c r="P118" s="61">
        <v>0</v>
      </c>
      <c r="Q118" s="61">
        <v>0</v>
      </c>
      <c r="R118" s="61">
        <f t="shared" ref="R118:R120" si="70">N118-O118+P118+Q118</f>
        <v>92000</v>
      </c>
      <c r="S118" s="61">
        <f>26309.61+4409.37+8265.89+589.68+2055.24</f>
        <v>41629.789999999994</v>
      </c>
      <c r="T118" s="62">
        <f>S118/R118</f>
        <v>0.45249771739130429</v>
      </c>
      <c r="U118" s="61">
        <f>23017.77+7701.21+8265.89+589.68+1598.67</f>
        <v>41173.219999999994</v>
      </c>
      <c r="V118" s="62">
        <f t="shared" si="67"/>
        <v>0.44753499999999996</v>
      </c>
      <c r="W118" s="61">
        <f>15441.68+15144.19+8265.89+589.68+646.92</f>
        <v>40088.36</v>
      </c>
      <c r="X118" s="63">
        <f t="shared" si="68"/>
        <v>0.43574304347826087</v>
      </c>
      <c r="Y118" s="42"/>
    </row>
    <row r="119" spans="1:25" s="64" customFormat="1" ht="39" customHeight="1" x14ac:dyDescent="0.2">
      <c r="A119" s="91" t="s">
        <v>130</v>
      </c>
      <c r="B119" s="52" t="s">
        <v>131</v>
      </c>
      <c r="C119" s="53" t="s">
        <v>51</v>
      </c>
      <c r="D119" s="92" t="s">
        <v>132</v>
      </c>
      <c r="E119" s="93" t="s">
        <v>49</v>
      </c>
      <c r="F119" s="52" t="s">
        <v>133</v>
      </c>
      <c r="G119" s="94">
        <v>1</v>
      </c>
      <c r="H119" s="96" t="s">
        <v>136</v>
      </c>
      <c r="I119" s="97" t="s">
        <v>137</v>
      </c>
      <c r="J119" s="95">
        <v>3</v>
      </c>
      <c r="K119" s="61">
        <v>0</v>
      </c>
      <c r="L119" s="61">
        <f>30000</f>
        <v>30000</v>
      </c>
      <c r="M119" s="61">
        <v>0</v>
      </c>
      <c r="N119" s="61">
        <f t="shared" si="69"/>
        <v>30000</v>
      </c>
      <c r="O119" s="61">
        <v>0</v>
      </c>
      <c r="P119" s="61">
        <v>0</v>
      </c>
      <c r="Q119" s="61">
        <v>0</v>
      </c>
      <c r="R119" s="61">
        <f t="shared" si="70"/>
        <v>30000</v>
      </c>
      <c r="S119" s="61">
        <f>30000</f>
        <v>30000</v>
      </c>
      <c r="T119" s="62">
        <f t="shared" ref="T119:T120" si="71">S119/R119</f>
        <v>1</v>
      </c>
      <c r="U119" s="61">
        <f>30000</f>
        <v>30000</v>
      </c>
      <c r="V119" s="62">
        <f t="shared" si="67"/>
        <v>1</v>
      </c>
      <c r="W119" s="61">
        <f>30000</f>
        <v>30000</v>
      </c>
      <c r="X119" s="63">
        <f t="shared" si="68"/>
        <v>1</v>
      </c>
      <c r="Y119" s="42"/>
    </row>
    <row r="120" spans="1:25" s="64" customFormat="1" ht="39" customHeight="1" x14ac:dyDescent="0.2">
      <c r="A120" s="91" t="s">
        <v>130</v>
      </c>
      <c r="B120" s="52" t="s">
        <v>131</v>
      </c>
      <c r="C120" s="53" t="s">
        <v>51</v>
      </c>
      <c r="D120" s="92" t="s">
        <v>132</v>
      </c>
      <c r="E120" s="93" t="s">
        <v>49</v>
      </c>
      <c r="F120" s="52" t="s">
        <v>133</v>
      </c>
      <c r="G120" s="94">
        <v>1</v>
      </c>
      <c r="H120" s="96" t="s">
        <v>136</v>
      </c>
      <c r="I120" s="97" t="s">
        <v>137</v>
      </c>
      <c r="J120" s="95">
        <v>4</v>
      </c>
      <c r="K120" s="61">
        <v>0</v>
      </c>
      <c r="L120" s="61">
        <f>665987.94</f>
        <v>665987.93999999994</v>
      </c>
      <c r="M120" s="61">
        <v>0</v>
      </c>
      <c r="N120" s="61">
        <f t="shared" si="69"/>
        <v>665987.93999999994</v>
      </c>
      <c r="O120" s="61">
        <v>0</v>
      </c>
      <c r="P120" s="61">
        <v>0</v>
      </c>
      <c r="Q120" s="61">
        <v>0</v>
      </c>
      <c r="R120" s="61">
        <f t="shared" si="70"/>
        <v>665987.93999999994</v>
      </c>
      <c r="S120" s="61">
        <f>27780+6300</f>
        <v>34080</v>
      </c>
      <c r="T120" s="62">
        <f t="shared" si="71"/>
        <v>5.1172097801050274E-2</v>
      </c>
      <c r="U120" s="61">
        <f>34080</f>
        <v>34080</v>
      </c>
      <c r="V120" s="62">
        <f t="shared" si="67"/>
        <v>5.1172097801050274E-2</v>
      </c>
      <c r="W120" s="61">
        <f>34080</f>
        <v>34080</v>
      </c>
      <c r="X120" s="63">
        <f t="shared" si="68"/>
        <v>5.1172097801050274E-2</v>
      </c>
      <c r="Y120" s="42"/>
    </row>
    <row r="121" spans="1:25" s="42" customFormat="1" ht="9" customHeight="1" x14ac:dyDescent="0.2">
      <c r="A121" s="65"/>
      <c r="B121" s="66"/>
      <c r="C121" s="67"/>
      <c r="D121" s="68"/>
      <c r="E121" s="34"/>
      <c r="F121" s="70"/>
      <c r="G121" s="71"/>
      <c r="H121" s="67"/>
      <c r="I121" s="72"/>
      <c r="J121" s="73"/>
      <c r="K121" s="74"/>
      <c r="L121" s="75"/>
      <c r="M121" s="75"/>
      <c r="N121" s="74"/>
      <c r="O121" s="75"/>
      <c r="P121" s="75"/>
      <c r="Q121" s="75"/>
      <c r="R121" s="74"/>
      <c r="S121" s="75"/>
      <c r="T121" s="76"/>
      <c r="U121" s="75"/>
      <c r="V121" s="76"/>
      <c r="W121" s="75"/>
      <c r="X121" s="77"/>
    </row>
    <row r="122" spans="1:25" s="50" customFormat="1" ht="39" customHeight="1" x14ac:dyDescent="0.2">
      <c r="A122" s="98" t="s">
        <v>130</v>
      </c>
      <c r="B122" s="161" t="s">
        <v>131</v>
      </c>
      <c r="C122" s="162"/>
      <c r="D122" s="79" t="s">
        <v>138</v>
      </c>
      <c r="E122" s="80" t="s">
        <v>49</v>
      </c>
      <c r="F122" s="161" t="s">
        <v>139</v>
      </c>
      <c r="G122" s="163"/>
      <c r="H122" s="163"/>
      <c r="I122" s="163"/>
      <c r="J122" s="162"/>
      <c r="K122" s="81">
        <f>SUM(K123:K128)</f>
        <v>1531000</v>
      </c>
      <c r="L122" s="81">
        <f t="shared" ref="L122:S122" si="72">SUM(L123:L128)</f>
        <v>1267437</v>
      </c>
      <c r="M122" s="81">
        <f t="shared" si="72"/>
        <v>0</v>
      </c>
      <c r="N122" s="81">
        <f t="shared" si="72"/>
        <v>2798437</v>
      </c>
      <c r="O122" s="81">
        <f t="shared" si="72"/>
        <v>0</v>
      </c>
      <c r="P122" s="81">
        <f t="shared" si="72"/>
        <v>0</v>
      </c>
      <c r="Q122" s="81">
        <f t="shared" si="72"/>
        <v>0</v>
      </c>
      <c r="R122" s="81">
        <f t="shared" si="72"/>
        <v>2798437</v>
      </c>
      <c r="S122" s="81">
        <f t="shared" si="72"/>
        <v>567941.88</v>
      </c>
      <c r="T122" s="82">
        <f>S122/R122</f>
        <v>0.20294967512222001</v>
      </c>
      <c r="U122" s="81">
        <f>SUM(U123:U128)</f>
        <v>567941.88</v>
      </c>
      <c r="V122" s="82">
        <f>U122/R122</f>
        <v>0.20294967512222001</v>
      </c>
      <c r="W122" s="81">
        <f>SUM(W123:W128)</f>
        <v>567941.88</v>
      </c>
      <c r="X122" s="83">
        <f>W122/R122</f>
        <v>0.20294967512222001</v>
      </c>
      <c r="Y122" s="49"/>
    </row>
    <row r="123" spans="1:25" s="64" customFormat="1" ht="39" customHeight="1" x14ac:dyDescent="0.2">
      <c r="A123" s="91" t="s">
        <v>130</v>
      </c>
      <c r="B123" s="52" t="s">
        <v>131</v>
      </c>
      <c r="C123" s="53" t="s">
        <v>51</v>
      </c>
      <c r="D123" s="54" t="s">
        <v>138</v>
      </c>
      <c r="E123" s="93" t="s">
        <v>49</v>
      </c>
      <c r="F123" s="56" t="s">
        <v>139</v>
      </c>
      <c r="G123" s="57">
        <v>1</v>
      </c>
      <c r="H123" s="53" t="s">
        <v>52</v>
      </c>
      <c r="I123" s="58" t="s">
        <v>53</v>
      </c>
      <c r="J123" s="59">
        <v>4</v>
      </c>
      <c r="K123" s="60">
        <v>1380000</v>
      </c>
      <c r="L123" s="61">
        <v>0</v>
      </c>
      <c r="M123" s="61">
        <v>0</v>
      </c>
      <c r="N123" s="60">
        <f>K123+L123-M123</f>
        <v>1380000</v>
      </c>
      <c r="O123" s="61">
        <v>0</v>
      </c>
      <c r="P123" s="61">
        <v>0</v>
      </c>
      <c r="Q123" s="61">
        <v>0</v>
      </c>
      <c r="R123" s="60">
        <f>N123-O123+P123+Q123</f>
        <v>1380000</v>
      </c>
      <c r="S123" s="61">
        <v>0</v>
      </c>
      <c r="T123" s="62">
        <f>S123/R123</f>
        <v>0</v>
      </c>
      <c r="U123" s="61">
        <v>0</v>
      </c>
      <c r="V123" s="62">
        <f>U123/R123</f>
        <v>0</v>
      </c>
      <c r="W123" s="61">
        <v>0</v>
      </c>
      <c r="X123" s="63">
        <f>W123/R123</f>
        <v>0</v>
      </c>
      <c r="Y123" s="42"/>
    </row>
    <row r="124" spans="1:25" s="64" customFormat="1" ht="39" customHeight="1" x14ac:dyDescent="0.2">
      <c r="A124" s="91" t="s">
        <v>130</v>
      </c>
      <c r="B124" s="52" t="s">
        <v>131</v>
      </c>
      <c r="C124" s="53" t="s">
        <v>51</v>
      </c>
      <c r="D124" s="54" t="s">
        <v>138</v>
      </c>
      <c r="E124" s="93" t="s">
        <v>49</v>
      </c>
      <c r="F124" s="56" t="s">
        <v>139</v>
      </c>
      <c r="G124" s="57">
        <v>1</v>
      </c>
      <c r="H124" s="53" t="s">
        <v>52</v>
      </c>
      <c r="I124" s="58" t="s">
        <v>53</v>
      </c>
      <c r="J124" s="59">
        <v>5</v>
      </c>
      <c r="K124" s="60">
        <v>50000</v>
      </c>
      <c r="L124" s="61">
        <v>0</v>
      </c>
      <c r="M124" s="61">
        <v>0</v>
      </c>
      <c r="N124" s="60">
        <f>K124+L124-M124</f>
        <v>50000</v>
      </c>
      <c r="O124" s="61">
        <v>0</v>
      </c>
      <c r="P124" s="61">
        <v>0</v>
      </c>
      <c r="Q124" s="61">
        <v>0</v>
      </c>
      <c r="R124" s="60">
        <f>N124-O124+P124+Q124</f>
        <v>50000</v>
      </c>
      <c r="S124" s="61">
        <v>0</v>
      </c>
      <c r="T124" s="62">
        <f>S124/R124</f>
        <v>0</v>
      </c>
      <c r="U124" s="61">
        <v>0</v>
      </c>
      <c r="V124" s="62">
        <f>U124/R124</f>
        <v>0</v>
      </c>
      <c r="W124" s="61">
        <v>0</v>
      </c>
      <c r="X124" s="63">
        <f>W124/R124</f>
        <v>0</v>
      </c>
      <c r="Y124" s="42"/>
    </row>
    <row r="125" spans="1:25" s="64" customFormat="1" ht="39" customHeight="1" x14ac:dyDescent="0.2">
      <c r="A125" s="91" t="s">
        <v>130</v>
      </c>
      <c r="B125" s="52" t="s">
        <v>131</v>
      </c>
      <c r="C125" s="53" t="s">
        <v>51</v>
      </c>
      <c r="D125" s="54" t="s">
        <v>138</v>
      </c>
      <c r="E125" s="93" t="s">
        <v>49</v>
      </c>
      <c r="F125" s="56" t="s">
        <v>139</v>
      </c>
      <c r="G125" s="57">
        <v>1</v>
      </c>
      <c r="H125" s="53" t="s">
        <v>134</v>
      </c>
      <c r="I125" s="97" t="s">
        <v>135</v>
      </c>
      <c r="J125" s="59">
        <v>3</v>
      </c>
      <c r="K125" s="60">
        <v>101000</v>
      </c>
      <c r="L125" s="61">
        <v>0</v>
      </c>
      <c r="M125" s="61">
        <v>0</v>
      </c>
      <c r="N125" s="60">
        <f>K125+L125-M125</f>
        <v>101000</v>
      </c>
      <c r="O125" s="61">
        <v>0</v>
      </c>
      <c r="P125" s="61">
        <v>0</v>
      </c>
      <c r="Q125" s="61">
        <v>0</v>
      </c>
      <c r="R125" s="60">
        <f>N125-O125+P125+Q125</f>
        <v>101000</v>
      </c>
      <c r="S125" s="61">
        <f>634.13+3178.78</f>
        <v>3812.9100000000003</v>
      </c>
      <c r="T125" s="62">
        <f>S125/R125</f>
        <v>3.7751584158415848E-2</v>
      </c>
      <c r="U125" s="61">
        <f>634.13+88.78+3090</f>
        <v>3812.91</v>
      </c>
      <c r="V125" s="62">
        <f>U125/R125</f>
        <v>3.7751584158415841E-2</v>
      </c>
      <c r="W125" s="61">
        <f>634.13+88.78+3090</f>
        <v>3812.91</v>
      </c>
      <c r="X125" s="63">
        <f>W125/R125</f>
        <v>3.7751584158415841E-2</v>
      </c>
      <c r="Y125" s="42"/>
    </row>
    <row r="126" spans="1:25" s="64" customFormat="1" ht="39" customHeight="1" x14ac:dyDescent="0.2">
      <c r="A126" s="91" t="s">
        <v>130</v>
      </c>
      <c r="B126" s="52" t="s">
        <v>131</v>
      </c>
      <c r="C126" s="53" t="s">
        <v>51</v>
      </c>
      <c r="D126" s="54" t="s">
        <v>138</v>
      </c>
      <c r="E126" s="93" t="s">
        <v>49</v>
      </c>
      <c r="F126" s="56" t="s">
        <v>139</v>
      </c>
      <c r="G126" s="57">
        <v>1</v>
      </c>
      <c r="H126" s="99" t="s">
        <v>140</v>
      </c>
      <c r="I126" s="100" t="s">
        <v>141</v>
      </c>
      <c r="J126" s="59">
        <v>4</v>
      </c>
      <c r="K126" s="60">
        <v>0</v>
      </c>
      <c r="L126" s="61">
        <f>550000</f>
        <v>550000</v>
      </c>
      <c r="M126" s="61">
        <v>0</v>
      </c>
      <c r="N126" s="60">
        <f t="shared" ref="N126:N128" si="73">K126+L126-M126</f>
        <v>550000</v>
      </c>
      <c r="O126" s="61">
        <v>0</v>
      </c>
      <c r="P126" s="61">
        <v>0</v>
      </c>
      <c r="Q126" s="61">
        <v>0</v>
      </c>
      <c r="R126" s="60">
        <f t="shared" ref="R126:R128" si="74">N126-O126+P126+Q126</f>
        <v>550000</v>
      </c>
      <c r="S126" s="61">
        <v>0</v>
      </c>
      <c r="T126" s="62">
        <f t="shared" ref="T126:T128" si="75">S126/R126</f>
        <v>0</v>
      </c>
      <c r="U126" s="61">
        <v>0</v>
      </c>
      <c r="V126" s="62">
        <f t="shared" ref="V126:V128" si="76">U126/R126</f>
        <v>0</v>
      </c>
      <c r="W126" s="61">
        <v>0</v>
      </c>
      <c r="X126" s="63">
        <f t="shared" ref="X126:X128" si="77">W126/R126</f>
        <v>0</v>
      </c>
      <c r="Y126" s="42"/>
    </row>
    <row r="127" spans="1:25" s="64" customFormat="1" ht="39" customHeight="1" x14ac:dyDescent="0.2">
      <c r="A127" s="91" t="s">
        <v>130</v>
      </c>
      <c r="B127" s="52" t="s">
        <v>131</v>
      </c>
      <c r="C127" s="53" t="s">
        <v>51</v>
      </c>
      <c r="D127" s="54" t="s">
        <v>138</v>
      </c>
      <c r="E127" s="93" t="s">
        <v>49</v>
      </c>
      <c r="F127" s="56" t="s">
        <v>139</v>
      </c>
      <c r="G127" s="57">
        <v>1</v>
      </c>
      <c r="H127" s="99" t="s">
        <v>142</v>
      </c>
      <c r="I127" s="101" t="s">
        <v>143</v>
      </c>
      <c r="J127" s="59">
        <v>4</v>
      </c>
      <c r="K127" s="60">
        <v>0</v>
      </c>
      <c r="L127" s="61">
        <f>270235</f>
        <v>270235</v>
      </c>
      <c r="M127" s="61">
        <v>0</v>
      </c>
      <c r="N127" s="60">
        <f t="shared" si="73"/>
        <v>270235</v>
      </c>
      <c r="O127" s="61">
        <v>0</v>
      </c>
      <c r="P127" s="61">
        <v>0</v>
      </c>
      <c r="Q127" s="61">
        <v>0</v>
      </c>
      <c r="R127" s="60">
        <f t="shared" si="74"/>
        <v>270235</v>
      </c>
      <c r="S127" s="61">
        <f>116927.16</f>
        <v>116927.16</v>
      </c>
      <c r="T127" s="62">
        <f t="shared" si="75"/>
        <v>0.43268695764797305</v>
      </c>
      <c r="U127" s="61">
        <f>116927.16</f>
        <v>116927.16</v>
      </c>
      <c r="V127" s="62">
        <f t="shared" si="76"/>
        <v>0.43268695764797305</v>
      </c>
      <c r="W127" s="61">
        <f>116927.16</f>
        <v>116927.16</v>
      </c>
      <c r="X127" s="63">
        <f t="shared" si="77"/>
        <v>0.43268695764797305</v>
      </c>
      <c r="Y127" s="42"/>
    </row>
    <row r="128" spans="1:25" s="64" customFormat="1" ht="39" customHeight="1" x14ac:dyDescent="0.2">
      <c r="A128" s="91" t="s">
        <v>130</v>
      </c>
      <c r="B128" s="52" t="s">
        <v>131</v>
      </c>
      <c r="C128" s="53" t="s">
        <v>51</v>
      </c>
      <c r="D128" s="54" t="s">
        <v>138</v>
      </c>
      <c r="E128" s="93" t="s">
        <v>49</v>
      </c>
      <c r="F128" s="56" t="s">
        <v>139</v>
      </c>
      <c r="G128" s="57">
        <v>1</v>
      </c>
      <c r="H128" s="99" t="s">
        <v>142</v>
      </c>
      <c r="I128" s="101" t="s">
        <v>143</v>
      </c>
      <c r="J128" s="59">
        <v>5</v>
      </c>
      <c r="K128" s="60">
        <v>0</v>
      </c>
      <c r="L128" s="61">
        <f>447202</f>
        <v>447202</v>
      </c>
      <c r="M128" s="61">
        <v>0</v>
      </c>
      <c r="N128" s="60">
        <f t="shared" si="73"/>
        <v>447202</v>
      </c>
      <c r="O128" s="61">
        <v>0</v>
      </c>
      <c r="P128" s="61">
        <v>0</v>
      </c>
      <c r="Q128" s="61">
        <v>0</v>
      </c>
      <c r="R128" s="60">
        <f t="shared" si="74"/>
        <v>447202</v>
      </c>
      <c r="S128" s="61">
        <f>447201.81</f>
        <v>447201.81</v>
      </c>
      <c r="T128" s="62">
        <f t="shared" si="75"/>
        <v>0.9999995751360683</v>
      </c>
      <c r="U128" s="61">
        <f>447201.81</f>
        <v>447201.81</v>
      </c>
      <c r="V128" s="62">
        <f t="shared" si="76"/>
        <v>0.9999995751360683</v>
      </c>
      <c r="W128" s="61">
        <f>447201.81</f>
        <v>447201.81</v>
      </c>
      <c r="X128" s="63">
        <f t="shared" si="77"/>
        <v>0.9999995751360683</v>
      </c>
      <c r="Y128" s="42"/>
    </row>
    <row r="129" spans="1:25" s="42" customFormat="1" ht="9" customHeight="1" x14ac:dyDescent="0.2">
      <c r="A129" s="65"/>
      <c r="B129" s="66"/>
      <c r="C129" s="67"/>
      <c r="D129" s="68"/>
      <c r="E129" s="69"/>
      <c r="F129" s="70"/>
      <c r="G129" s="71"/>
      <c r="H129" s="67"/>
      <c r="I129" s="72"/>
      <c r="J129" s="73"/>
      <c r="K129" s="74"/>
      <c r="L129" s="75"/>
      <c r="M129" s="75"/>
      <c r="N129" s="74"/>
      <c r="O129" s="75"/>
      <c r="P129" s="75"/>
      <c r="Q129" s="75"/>
      <c r="R129" s="74"/>
      <c r="S129" s="75"/>
      <c r="T129" s="76"/>
      <c r="U129" s="75"/>
      <c r="V129" s="76"/>
      <c r="W129" s="75"/>
      <c r="X129" s="77"/>
    </row>
    <row r="130" spans="1:25" s="50" customFormat="1" ht="39" customHeight="1" x14ac:dyDescent="0.2">
      <c r="A130" s="98" t="s">
        <v>130</v>
      </c>
      <c r="B130" s="161" t="s">
        <v>131</v>
      </c>
      <c r="C130" s="162"/>
      <c r="D130" s="79" t="s">
        <v>144</v>
      </c>
      <c r="E130" s="80" t="s">
        <v>49</v>
      </c>
      <c r="F130" s="161" t="s">
        <v>145</v>
      </c>
      <c r="G130" s="163"/>
      <c r="H130" s="163"/>
      <c r="I130" s="163"/>
      <c r="J130" s="162"/>
      <c r="K130" s="81">
        <f>SUM(K131:K135)</f>
        <v>5001000</v>
      </c>
      <c r="L130" s="81">
        <f t="shared" ref="L130:S130" si="78">SUM(L131:L135)</f>
        <v>4495827</v>
      </c>
      <c r="M130" s="81">
        <f t="shared" si="78"/>
        <v>2246850</v>
      </c>
      <c r="N130" s="81">
        <f t="shared" si="78"/>
        <v>7249977</v>
      </c>
      <c r="O130" s="81">
        <f t="shared" si="78"/>
        <v>0</v>
      </c>
      <c r="P130" s="81">
        <f t="shared" si="78"/>
        <v>0</v>
      </c>
      <c r="Q130" s="81">
        <f t="shared" si="78"/>
        <v>0</v>
      </c>
      <c r="R130" s="81">
        <f t="shared" si="78"/>
        <v>7249977</v>
      </c>
      <c r="S130" s="81">
        <f t="shared" si="78"/>
        <v>813366.65</v>
      </c>
      <c r="T130" s="82">
        <f t="shared" ref="T130:T135" si="79">S130/R130</f>
        <v>0.11218885935776073</v>
      </c>
      <c r="U130" s="81">
        <f>SUM(U131:U135)</f>
        <v>813366.65</v>
      </c>
      <c r="V130" s="82">
        <f t="shared" ref="V130:V135" si="80">U130/R130</f>
        <v>0.11218885935776073</v>
      </c>
      <c r="W130" s="81">
        <f>SUM(W131:W135)</f>
        <v>813366.65</v>
      </c>
      <c r="X130" s="83">
        <f t="shared" ref="X130:X135" si="81">W130/R130</f>
        <v>0.11218885935776073</v>
      </c>
      <c r="Y130" s="49"/>
    </row>
    <row r="131" spans="1:25" s="64" customFormat="1" ht="39" customHeight="1" x14ac:dyDescent="0.2">
      <c r="A131" s="91" t="s">
        <v>130</v>
      </c>
      <c r="B131" s="52" t="s">
        <v>131</v>
      </c>
      <c r="C131" s="53" t="s">
        <v>51</v>
      </c>
      <c r="D131" s="54" t="s">
        <v>144</v>
      </c>
      <c r="E131" s="93" t="s">
        <v>49</v>
      </c>
      <c r="F131" s="56" t="s">
        <v>145</v>
      </c>
      <c r="G131" s="57">
        <v>1</v>
      </c>
      <c r="H131" s="53" t="s">
        <v>52</v>
      </c>
      <c r="I131" s="58" t="s">
        <v>53</v>
      </c>
      <c r="J131" s="59">
        <v>4</v>
      </c>
      <c r="K131" s="60">
        <v>2530550</v>
      </c>
      <c r="L131" s="61">
        <v>0</v>
      </c>
      <c r="M131" s="61">
        <v>0</v>
      </c>
      <c r="N131" s="60">
        <f>K131+L131-M131</f>
        <v>2530550</v>
      </c>
      <c r="O131" s="61">
        <v>0</v>
      </c>
      <c r="P131" s="61">
        <v>0</v>
      </c>
      <c r="Q131" s="61">
        <v>0</v>
      </c>
      <c r="R131" s="60">
        <f>N131-O131+P131+Q131</f>
        <v>2530550</v>
      </c>
      <c r="S131" s="61">
        <v>0</v>
      </c>
      <c r="T131" s="62">
        <f t="shared" si="79"/>
        <v>0</v>
      </c>
      <c r="U131" s="61">
        <v>0</v>
      </c>
      <c r="V131" s="62">
        <f t="shared" si="80"/>
        <v>0</v>
      </c>
      <c r="W131" s="61">
        <v>0</v>
      </c>
      <c r="X131" s="63">
        <f t="shared" si="81"/>
        <v>0</v>
      </c>
      <c r="Y131" s="42"/>
    </row>
    <row r="132" spans="1:25" s="64" customFormat="1" ht="39" customHeight="1" x14ac:dyDescent="0.2">
      <c r="A132" s="91" t="s">
        <v>130</v>
      </c>
      <c r="B132" s="52" t="s">
        <v>131</v>
      </c>
      <c r="C132" s="53" t="s">
        <v>51</v>
      </c>
      <c r="D132" s="54" t="s">
        <v>144</v>
      </c>
      <c r="E132" s="93" t="s">
        <v>49</v>
      </c>
      <c r="F132" s="56" t="s">
        <v>145</v>
      </c>
      <c r="G132" s="57">
        <v>1</v>
      </c>
      <c r="H132" s="53" t="s">
        <v>134</v>
      </c>
      <c r="I132" s="97" t="s">
        <v>135</v>
      </c>
      <c r="J132" s="59">
        <v>3</v>
      </c>
      <c r="K132" s="60">
        <v>1000</v>
      </c>
      <c r="L132" s="61">
        <v>0</v>
      </c>
      <c r="M132" s="61">
        <v>0</v>
      </c>
      <c r="N132" s="60">
        <f>K132+L132-M132</f>
        <v>1000</v>
      </c>
      <c r="O132" s="61">
        <v>0</v>
      </c>
      <c r="P132" s="61">
        <v>0</v>
      </c>
      <c r="Q132" s="61">
        <v>0</v>
      </c>
      <c r="R132" s="60">
        <f>N132-O132+P132+Q132</f>
        <v>1000</v>
      </c>
      <c r="S132" s="61">
        <v>0</v>
      </c>
      <c r="T132" s="62">
        <f t="shared" si="79"/>
        <v>0</v>
      </c>
      <c r="U132" s="61">
        <v>0</v>
      </c>
      <c r="V132" s="62">
        <f t="shared" si="80"/>
        <v>0</v>
      </c>
      <c r="W132" s="61">
        <v>0</v>
      </c>
      <c r="X132" s="63">
        <f t="shared" si="81"/>
        <v>0</v>
      </c>
      <c r="Y132" s="42"/>
    </row>
    <row r="133" spans="1:25" s="64" customFormat="1" ht="39" customHeight="1" x14ac:dyDescent="0.2">
      <c r="A133" s="91" t="s">
        <v>130</v>
      </c>
      <c r="B133" s="52" t="s">
        <v>131</v>
      </c>
      <c r="C133" s="53" t="s">
        <v>51</v>
      </c>
      <c r="D133" s="54" t="s">
        <v>144</v>
      </c>
      <c r="E133" s="93" t="s">
        <v>49</v>
      </c>
      <c r="F133" s="56" t="s">
        <v>145</v>
      </c>
      <c r="G133" s="57">
        <v>1</v>
      </c>
      <c r="H133" s="53" t="s">
        <v>134</v>
      </c>
      <c r="I133" s="97" t="s">
        <v>135</v>
      </c>
      <c r="J133" s="59">
        <v>4</v>
      </c>
      <c r="K133" s="60">
        <v>2469450</v>
      </c>
      <c r="L133" s="61">
        <v>0</v>
      </c>
      <c r="M133" s="61">
        <f>1046850</f>
        <v>1046850</v>
      </c>
      <c r="N133" s="60">
        <f>K133+L133-M133</f>
        <v>1422600</v>
      </c>
      <c r="O133" s="61">
        <v>0</v>
      </c>
      <c r="P133" s="61">
        <v>0</v>
      </c>
      <c r="Q133" s="61">
        <v>0</v>
      </c>
      <c r="R133" s="60">
        <f>N133-O133+P133+Q133</f>
        <v>1422600</v>
      </c>
      <c r="S133" s="61">
        <v>0</v>
      </c>
      <c r="T133" s="62">
        <f t="shared" si="79"/>
        <v>0</v>
      </c>
      <c r="U133" s="61">
        <v>0</v>
      </c>
      <c r="V133" s="62">
        <f t="shared" si="80"/>
        <v>0</v>
      </c>
      <c r="W133" s="61">
        <v>0</v>
      </c>
      <c r="X133" s="63">
        <f t="shared" si="81"/>
        <v>0</v>
      </c>
      <c r="Y133" s="42"/>
    </row>
    <row r="134" spans="1:25" s="64" customFormat="1" ht="39" customHeight="1" x14ac:dyDescent="0.2">
      <c r="A134" s="91" t="s">
        <v>130</v>
      </c>
      <c r="B134" s="52" t="s">
        <v>131</v>
      </c>
      <c r="C134" s="53" t="s">
        <v>51</v>
      </c>
      <c r="D134" s="54" t="s">
        <v>144</v>
      </c>
      <c r="E134" s="93" t="s">
        <v>49</v>
      </c>
      <c r="F134" s="56" t="s">
        <v>145</v>
      </c>
      <c r="G134" s="57">
        <v>1</v>
      </c>
      <c r="H134" s="84" t="s">
        <v>61</v>
      </c>
      <c r="I134" s="85" t="s">
        <v>62</v>
      </c>
      <c r="J134" s="59">
        <v>4</v>
      </c>
      <c r="K134" s="60">
        <v>0</v>
      </c>
      <c r="L134" s="61">
        <f>3448977</f>
        <v>3448977</v>
      </c>
      <c r="M134" s="61">
        <f>1200000</f>
        <v>1200000</v>
      </c>
      <c r="N134" s="60">
        <f>K134+L134-M134</f>
        <v>2248977</v>
      </c>
      <c r="O134" s="61">
        <v>0</v>
      </c>
      <c r="P134" s="61">
        <v>0</v>
      </c>
      <c r="Q134" s="61">
        <v>0</v>
      </c>
      <c r="R134" s="60">
        <f>N134-O134+P134+Q134</f>
        <v>2248977</v>
      </c>
      <c r="S134" s="61">
        <f>813366.65</f>
        <v>813366.65</v>
      </c>
      <c r="T134" s="62">
        <f t="shared" si="79"/>
        <v>0.36166072396471821</v>
      </c>
      <c r="U134" s="61">
        <f>813366.65</f>
        <v>813366.65</v>
      </c>
      <c r="V134" s="62">
        <f t="shared" si="80"/>
        <v>0.36166072396471821</v>
      </c>
      <c r="W134" s="61">
        <f>813366.65</f>
        <v>813366.65</v>
      </c>
      <c r="X134" s="63">
        <f t="shared" si="81"/>
        <v>0.36166072396471821</v>
      </c>
      <c r="Y134" s="42"/>
    </row>
    <row r="135" spans="1:25" s="64" customFormat="1" ht="39" customHeight="1" x14ac:dyDescent="0.2">
      <c r="A135" s="91" t="s">
        <v>130</v>
      </c>
      <c r="B135" s="52" t="s">
        <v>131</v>
      </c>
      <c r="C135" s="53" t="s">
        <v>51</v>
      </c>
      <c r="D135" s="54" t="s">
        <v>144</v>
      </c>
      <c r="E135" s="93" t="s">
        <v>49</v>
      </c>
      <c r="F135" s="56" t="s">
        <v>145</v>
      </c>
      <c r="G135" s="57">
        <v>1</v>
      </c>
      <c r="H135" s="99" t="s">
        <v>142</v>
      </c>
      <c r="I135" s="101" t="s">
        <v>143</v>
      </c>
      <c r="J135" s="59">
        <v>4</v>
      </c>
      <c r="K135" s="60">
        <v>0</v>
      </c>
      <c r="L135" s="61">
        <f>1046850</f>
        <v>1046850</v>
      </c>
      <c r="M135" s="61">
        <v>0</v>
      </c>
      <c r="N135" s="60">
        <f>K135+L135-M135</f>
        <v>1046850</v>
      </c>
      <c r="O135" s="61">
        <v>0</v>
      </c>
      <c r="P135" s="61">
        <v>0</v>
      </c>
      <c r="Q135" s="61">
        <v>0</v>
      </c>
      <c r="R135" s="60">
        <f>N135-O135+P135+Q135</f>
        <v>1046850</v>
      </c>
      <c r="S135" s="61">
        <v>0</v>
      </c>
      <c r="T135" s="62">
        <f t="shared" si="79"/>
        <v>0</v>
      </c>
      <c r="U135" s="61">
        <v>0</v>
      </c>
      <c r="V135" s="62">
        <f t="shared" si="80"/>
        <v>0</v>
      </c>
      <c r="W135" s="61">
        <v>0</v>
      </c>
      <c r="X135" s="63">
        <f t="shared" si="81"/>
        <v>0</v>
      </c>
      <c r="Y135" s="42"/>
    </row>
    <row r="136" spans="1:25" s="42" customFormat="1" ht="9" customHeight="1" x14ac:dyDescent="0.2">
      <c r="A136" s="65"/>
      <c r="B136" s="66"/>
      <c r="C136" s="67"/>
      <c r="D136" s="68"/>
      <c r="E136" s="69"/>
      <c r="F136" s="70"/>
      <c r="G136" s="71"/>
      <c r="H136" s="67"/>
      <c r="I136" s="72"/>
      <c r="J136" s="73"/>
      <c r="K136" s="74"/>
      <c r="L136" s="75"/>
      <c r="M136" s="75"/>
      <c r="N136" s="74"/>
      <c r="O136" s="75"/>
      <c r="P136" s="75"/>
      <c r="Q136" s="75"/>
      <c r="R136" s="74"/>
      <c r="S136" s="75"/>
      <c r="T136" s="76"/>
      <c r="U136" s="75"/>
      <c r="V136" s="76"/>
      <c r="W136" s="75"/>
      <c r="X136" s="77"/>
    </row>
    <row r="137" spans="1:25" s="50" customFormat="1" ht="39" customHeight="1" x14ac:dyDescent="0.2">
      <c r="A137" s="98" t="s">
        <v>130</v>
      </c>
      <c r="B137" s="161" t="s">
        <v>131</v>
      </c>
      <c r="C137" s="162"/>
      <c r="D137" s="79" t="s">
        <v>146</v>
      </c>
      <c r="E137" s="80" t="s">
        <v>49</v>
      </c>
      <c r="F137" s="161" t="s">
        <v>147</v>
      </c>
      <c r="G137" s="163"/>
      <c r="H137" s="163"/>
      <c r="I137" s="163"/>
      <c r="J137" s="162"/>
      <c r="K137" s="81">
        <f>SUM(K138:K139)</f>
        <v>161000</v>
      </c>
      <c r="L137" s="81">
        <f t="shared" ref="L137:S137" si="82">SUM(L138:L139)</f>
        <v>0</v>
      </c>
      <c r="M137" s="81">
        <f t="shared" si="82"/>
        <v>0</v>
      </c>
      <c r="N137" s="81">
        <f t="shared" si="82"/>
        <v>161000</v>
      </c>
      <c r="O137" s="81">
        <f t="shared" si="82"/>
        <v>0</v>
      </c>
      <c r="P137" s="81">
        <f t="shared" si="82"/>
        <v>0</v>
      </c>
      <c r="Q137" s="81">
        <f t="shared" si="82"/>
        <v>0</v>
      </c>
      <c r="R137" s="81">
        <f t="shared" si="82"/>
        <v>161000</v>
      </c>
      <c r="S137" s="81">
        <f t="shared" si="82"/>
        <v>13900</v>
      </c>
      <c r="T137" s="82">
        <f>S137/R137</f>
        <v>8.6335403726708074E-2</v>
      </c>
      <c r="U137" s="81">
        <f>SUM(U138:U139)</f>
        <v>13900</v>
      </c>
      <c r="V137" s="82">
        <f>U137/R137</f>
        <v>8.6335403726708074E-2</v>
      </c>
      <c r="W137" s="81">
        <f>SUM(W138:W139)</f>
        <v>13900</v>
      </c>
      <c r="X137" s="83">
        <f>W137/R137</f>
        <v>8.6335403726708074E-2</v>
      </c>
      <c r="Y137" s="49"/>
    </row>
    <row r="138" spans="1:25" s="64" customFormat="1" ht="39" customHeight="1" x14ac:dyDescent="0.2">
      <c r="A138" s="91" t="s">
        <v>130</v>
      </c>
      <c r="B138" s="52" t="s">
        <v>131</v>
      </c>
      <c r="C138" s="53" t="s">
        <v>51</v>
      </c>
      <c r="D138" s="54" t="s">
        <v>146</v>
      </c>
      <c r="E138" s="93" t="s">
        <v>49</v>
      </c>
      <c r="F138" s="56" t="s">
        <v>148</v>
      </c>
      <c r="G138" s="57">
        <v>1</v>
      </c>
      <c r="H138" s="53" t="s">
        <v>52</v>
      </c>
      <c r="I138" s="58" t="s">
        <v>53</v>
      </c>
      <c r="J138" s="59">
        <v>4</v>
      </c>
      <c r="K138" s="60">
        <v>160000</v>
      </c>
      <c r="L138" s="61">
        <v>0</v>
      </c>
      <c r="M138" s="61">
        <v>0</v>
      </c>
      <c r="N138" s="60">
        <f>K138+L138-M138</f>
        <v>160000</v>
      </c>
      <c r="O138" s="61">
        <v>0</v>
      </c>
      <c r="P138" s="61">
        <v>0</v>
      </c>
      <c r="Q138" s="61">
        <v>0</v>
      </c>
      <c r="R138" s="60">
        <f>N138-O138+P138+Q138</f>
        <v>160000</v>
      </c>
      <c r="S138" s="61">
        <f>13900</f>
        <v>13900</v>
      </c>
      <c r="T138" s="62">
        <f>S138/R138</f>
        <v>8.6874999999999994E-2</v>
      </c>
      <c r="U138" s="61">
        <f>13900</f>
        <v>13900</v>
      </c>
      <c r="V138" s="62">
        <f>U138/R138</f>
        <v>8.6874999999999994E-2</v>
      </c>
      <c r="W138" s="61">
        <f>13900</f>
        <v>13900</v>
      </c>
      <c r="X138" s="63">
        <f>W138/R138</f>
        <v>8.6874999999999994E-2</v>
      </c>
      <c r="Y138" s="42"/>
    </row>
    <row r="139" spans="1:25" s="64" customFormat="1" ht="39" customHeight="1" x14ac:dyDescent="0.2">
      <c r="A139" s="91" t="s">
        <v>130</v>
      </c>
      <c r="B139" s="52" t="s">
        <v>131</v>
      </c>
      <c r="C139" s="53" t="s">
        <v>51</v>
      </c>
      <c r="D139" s="54" t="s">
        <v>146</v>
      </c>
      <c r="E139" s="93" t="s">
        <v>49</v>
      </c>
      <c r="F139" s="56" t="s">
        <v>148</v>
      </c>
      <c r="G139" s="57">
        <v>1</v>
      </c>
      <c r="H139" s="53" t="s">
        <v>134</v>
      </c>
      <c r="I139" s="97" t="s">
        <v>135</v>
      </c>
      <c r="J139" s="59">
        <v>3</v>
      </c>
      <c r="K139" s="60">
        <v>1000</v>
      </c>
      <c r="L139" s="61">
        <v>0</v>
      </c>
      <c r="M139" s="61">
        <v>0</v>
      </c>
      <c r="N139" s="60">
        <f>K139+L139-M139</f>
        <v>1000</v>
      </c>
      <c r="O139" s="61">
        <v>0</v>
      </c>
      <c r="P139" s="61">
        <v>0</v>
      </c>
      <c r="Q139" s="61">
        <v>0</v>
      </c>
      <c r="R139" s="60">
        <f>N139-O139+P139+Q139</f>
        <v>1000</v>
      </c>
      <c r="S139" s="61">
        <v>0</v>
      </c>
      <c r="T139" s="62">
        <f>S139/R139</f>
        <v>0</v>
      </c>
      <c r="U139" s="61">
        <v>0</v>
      </c>
      <c r="V139" s="62">
        <f>U139/R139</f>
        <v>0</v>
      </c>
      <c r="W139" s="61">
        <v>0</v>
      </c>
      <c r="X139" s="63">
        <f>W139/R139</f>
        <v>0</v>
      </c>
      <c r="Y139" s="42"/>
    </row>
    <row r="140" spans="1:25" s="42" customFormat="1" ht="9" customHeight="1" x14ac:dyDescent="0.2">
      <c r="A140" s="102"/>
      <c r="B140" s="66"/>
      <c r="C140" s="67"/>
      <c r="D140" s="68"/>
      <c r="E140" s="69"/>
      <c r="F140" s="70"/>
      <c r="G140" s="71"/>
      <c r="H140" s="67"/>
      <c r="I140" s="72"/>
      <c r="J140" s="73"/>
      <c r="K140" s="75"/>
      <c r="L140" s="75"/>
      <c r="M140" s="75"/>
      <c r="N140" s="75"/>
      <c r="O140" s="75"/>
      <c r="P140" s="75"/>
      <c r="Q140" s="75"/>
      <c r="R140" s="75"/>
      <c r="S140" s="75"/>
      <c r="T140" s="76"/>
      <c r="U140" s="75"/>
      <c r="V140" s="76"/>
      <c r="W140" s="75"/>
      <c r="X140" s="77"/>
    </row>
    <row r="141" spans="1:25" s="50" customFormat="1" ht="39" customHeight="1" x14ac:dyDescent="0.2">
      <c r="A141" s="98" t="s">
        <v>130</v>
      </c>
      <c r="B141" s="161" t="s">
        <v>131</v>
      </c>
      <c r="C141" s="162"/>
      <c r="D141" s="79" t="s">
        <v>149</v>
      </c>
      <c r="E141" s="80" t="s">
        <v>49</v>
      </c>
      <c r="F141" s="161" t="s">
        <v>150</v>
      </c>
      <c r="G141" s="163"/>
      <c r="H141" s="163"/>
      <c r="I141" s="163"/>
      <c r="J141" s="162"/>
      <c r="K141" s="81">
        <f>SUM(K142:K143)</f>
        <v>1000000</v>
      </c>
      <c r="L141" s="81">
        <f t="shared" ref="L141:S141" si="83">SUM(L142:L143)</f>
        <v>0</v>
      </c>
      <c r="M141" s="81">
        <f t="shared" si="83"/>
        <v>0</v>
      </c>
      <c r="N141" s="81">
        <f t="shared" si="83"/>
        <v>1000000</v>
      </c>
      <c r="O141" s="81">
        <f t="shared" si="83"/>
        <v>0</v>
      </c>
      <c r="P141" s="81">
        <f t="shared" si="83"/>
        <v>0</v>
      </c>
      <c r="Q141" s="81">
        <f t="shared" si="83"/>
        <v>0</v>
      </c>
      <c r="R141" s="81">
        <f t="shared" si="83"/>
        <v>1000000</v>
      </c>
      <c r="S141" s="81">
        <f t="shared" si="83"/>
        <v>0</v>
      </c>
      <c r="T141" s="82">
        <f>S141/R141</f>
        <v>0</v>
      </c>
      <c r="U141" s="81">
        <f>SUM(U142:U143)</f>
        <v>0</v>
      </c>
      <c r="V141" s="82">
        <f>U141/R141</f>
        <v>0</v>
      </c>
      <c r="W141" s="81">
        <f>SUM(W142:W143)</f>
        <v>0</v>
      </c>
      <c r="X141" s="83">
        <f>W141/R141</f>
        <v>0</v>
      </c>
      <c r="Y141" s="49"/>
    </row>
    <row r="142" spans="1:25" s="64" customFormat="1" ht="39" customHeight="1" x14ac:dyDescent="0.2">
      <c r="A142" s="91" t="s">
        <v>130</v>
      </c>
      <c r="B142" s="52" t="s">
        <v>131</v>
      </c>
      <c r="C142" s="53" t="s">
        <v>51</v>
      </c>
      <c r="D142" s="54" t="s">
        <v>149</v>
      </c>
      <c r="E142" s="93" t="s">
        <v>49</v>
      </c>
      <c r="F142" s="56" t="s">
        <v>150</v>
      </c>
      <c r="G142" s="57">
        <v>1</v>
      </c>
      <c r="H142" s="53" t="s">
        <v>134</v>
      </c>
      <c r="I142" s="97" t="s">
        <v>135</v>
      </c>
      <c r="J142" s="59">
        <v>3</v>
      </c>
      <c r="K142" s="60">
        <v>500000</v>
      </c>
      <c r="L142" s="61">
        <v>0</v>
      </c>
      <c r="M142" s="61">
        <v>0</v>
      </c>
      <c r="N142" s="60">
        <f>K142+L142-M142</f>
        <v>500000</v>
      </c>
      <c r="O142" s="61">
        <v>0</v>
      </c>
      <c r="P142" s="61">
        <v>0</v>
      </c>
      <c r="Q142" s="61">
        <v>0</v>
      </c>
      <c r="R142" s="60">
        <f>N142-O142+P142+Q142</f>
        <v>500000</v>
      </c>
      <c r="S142" s="61">
        <v>0</v>
      </c>
      <c r="T142" s="62">
        <f>S142/R142</f>
        <v>0</v>
      </c>
      <c r="U142" s="61">
        <v>0</v>
      </c>
      <c r="V142" s="62">
        <f>U142/R142</f>
        <v>0</v>
      </c>
      <c r="W142" s="61">
        <v>0</v>
      </c>
      <c r="X142" s="63">
        <f>W142/R142</f>
        <v>0</v>
      </c>
      <c r="Y142" s="42"/>
    </row>
    <row r="143" spans="1:25" s="64" customFormat="1" ht="39" customHeight="1" x14ac:dyDescent="0.2">
      <c r="A143" s="91" t="s">
        <v>130</v>
      </c>
      <c r="B143" s="52" t="s">
        <v>131</v>
      </c>
      <c r="C143" s="53" t="s">
        <v>51</v>
      </c>
      <c r="D143" s="54" t="s">
        <v>149</v>
      </c>
      <c r="E143" s="93" t="s">
        <v>49</v>
      </c>
      <c r="F143" s="56" t="s">
        <v>150</v>
      </c>
      <c r="G143" s="57">
        <v>1</v>
      </c>
      <c r="H143" s="53" t="s">
        <v>134</v>
      </c>
      <c r="I143" s="97" t="s">
        <v>135</v>
      </c>
      <c r="J143" s="59">
        <v>4</v>
      </c>
      <c r="K143" s="60">
        <v>500000</v>
      </c>
      <c r="L143" s="61">
        <v>0</v>
      </c>
      <c r="M143" s="61">
        <v>0</v>
      </c>
      <c r="N143" s="60">
        <f>K143+L143-M143</f>
        <v>500000</v>
      </c>
      <c r="O143" s="61">
        <v>0</v>
      </c>
      <c r="P143" s="61">
        <v>0</v>
      </c>
      <c r="Q143" s="61">
        <v>0</v>
      </c>
      <c r="R143" s="60">
        <f>N143-O143+P143+Q143</f>
        <v>500000</v>
      </c>
      <c r="S143" s="61">
        <v>0</v>
      </c>
      <c r="T143" s="62">
        <f>S143/R143</f>
        <v>0</v>
      </c>
      <c r="U143" s="61">
        <v>0</v>
      </c>
      <c r="V143" s="62">
        <f>U143/R143</f>
        <v>0</v>
      </c>
      <c r="W143" s="61">
        <v>0</v>
      </c>
      <c r="X143" s="63">
        <f>W143/R143</f>
        <v>0</v>
      </c>
      <c r="Y143" s="42"/>
    </row>
    <row r="144" spans="1:25" s="42" customFormat="1" ht="9" customHeight="1" x14ac:dyDescent="0.2">
      <c r="A144" s="102"/>
      <c r="B144" s="66"/>
      <c r="C144" s="67"/>
      <c r="D144" s="68"/>
      <c r="E144" s="69"/>
      <c r="F144" s="70"/>
      <c r="G144" s="71"/>
      <c r="H144" s="67"/>
      <c r="I144" s="72"/>
      <c r="J144" s="73"/>
      <c r="K144" s="75"/>
      <c r="L144" s="75"/>
      <c r="M144" s="75"/>
      <c r="N144" s="75"/>
      <c r="O144" s="75"/>
      <c r="P144" s="75"/>
      <c r="Q144" s="75"/>
      <c r="R144" s="75"/>
      <c r="S144" s="75"/>
      <c r="T144" s="76"/>
      <c r="U144" s="75"/>
      <c r="V144" s="76"/>
      <c r="W144" s="75"/>
      <c r="X144" s="77"/>
    </row>
    <row r="145" spans="1:25" s="50" customFormat="1" ht="39" customHeight="1" x14ac:dyDescent="0.2">
      <c r="A145" s="98" t="s">
        <v>130</v>
      </c>
      <c r="B145" s="161" t="s">
        <v>131</v>
      </c>
      <c r="C145" s="162"/>
      <c r="D145" s="79" t="s">
        <v>151</v>
      </c>
      <c r="E145" s="80" t="s">
        <v>49</v>
      </c>
      <c r="F145" s="161" t="s">
        <v>152</v>
      </c>
      <c r="G145" s="163"/>
      <c r="H145" s="163"/>
      <c r="I145" s="163"/>
      <c r="J145" s="162"/>
      <c r="K145" s="81">
        <f>K146</f>
        <v>51500</v>
      </c>
      <c r="L145" s="81">
        <f t="shared" ref="L145:S145" si="84">L146</f>
        <v>0</v>
      </c>
      <c r="M145" s="81">
        <f t="shared" si="84"/>
        <v>0</v>
      </c>
      <c r="N145" s="81">
        <f t="shared" si="84"/>
        <v>51500</v>
      </c>
      <c r="O145" s="81">
        <f t="shared" si="84"/>
        <v>0</v>
      </c>
      <c r="P145" s="81">
        <f t="shared" si="84"/>
        <v>0</v>
      </c>
      <c r="Q145" s="81">
        <f t="shared" si="84"/>
        <v>0</v>
      </c>
      <c r="R145" s="81">
        <f t="shared" si="84"/>
        <v>51500</v>
      </c>
      <c r="S145" s="81">
        <f t="shared" si="84"/>
        <v>4259.3600000000006</v>
      </c>
      <c r="T145" s="82">
        <f>S145/R145</f>
        <v>8.270601941747574E-2</v>
      </c>
      <c r="U145" s="81">
        <f>U146</f>
        <v>4167.51</v>
      </c>
      <c r="V145" s="82">
        <f>U145/R145</f>
        <v>8.0922524271844667E-2</v>
      </c>
      <c r="W145" s="81">
        <f>W146</f>
        <v>4167.51</v>
      </c>
      <c r="X145" s="83">
        <f>W145/R145</f>
        <v>8.0922524271844667E-2</v>
      </c>
      <c r="Y145" s="49"/>
    </row>
    <row r="146" spans="1:25" s="64" customFormat="1" ht="39" customHeight="1" x14ac:dyDescent="0.2">
      <c r="A146" s="91" t="s">
        <v>130</v>
      </c>
      <c r="B146" s="52" t="s">
        <v>131</v>
      </c>
      <c r="C146" s="53" t="s">
        <v>51</v>
      </c>
      <c r="D146" s="54" t="s">
        <v>151</v>
      </c>
      <c r="E146" s="55" t="s">
        <v>49</v>
      </c>
      <c r="F146" s="56" t="s">
        <v>152</v>
      </c>
      <c r="G146" s="57">
        <v>1</v>
      </c>
      <c r="H146" s="53" t="s">
        <v>134</v>
      </c>
      <c r="I146" s="97" t="s">
        <v>135</v>
      </c>
      <c r="J146" s="59">
        <v>3</v>
      </c>
      <c r="K146" s="60">
        <v>51500</v>
      </c>
      <c r="L146" s="61"/>
      <c r="M146" s="61"/>
      <c r="N146" s="60">
        <f>K146+L146-M146</f>
        <v>51500</v>
      </c>
      <c r="O146" s="61">
        <v>0</v>
      </c>
      <c r="P146" s="61">
        <v>0</v>
      </c>
      <c r="Q146" s="61">
        <v>0</v>
      </c>
      <c r="R146" s="60">
        <f>N146-O146+P146+Q146</f>
        <v>51500</v>
      </c>
      <c r="S146" s="61">
        <f>1080+3179.36</f>
        <v>4259.3600000000006</v>
      </c>
      <c r="T146" s="62">
        <f>S146/R146</f>
        <v>8.270601941747574E-2</v>
      </c>
      <c r="U146" s="61">
        <f>1080+3087.51</f>
        <v>4167.51</v>
      </c>
      <c r="V146" s="62">
        <f>U146/R146</f>
        <v>8.0922524271844667E-2</v>
      </c>
      <c r="W146" s="61">
        <f>1080+3087.51</f>
        <v>4167.51</v>
      </c>
      <c r="X146" s="63">
        <f>W146/R146</f>
        <v>8.0922524271844667E-2</v>
      </c>
      <c r="Y146" s="42"/>
    </row>
    <row r="147" spans="1:25" s="42" customFormat="1" ht="9" customHeight="1" x14ac:dyDescent="0.2">
      <c r="A147" s="102"/>
      <c r="B147" s="66"/>
      <c r="C147" s="67"/>
      <c r="D147" s="68"/>
      <c r="E147" s="69"/>
      <c r="F147" s="70"/>
      <c r="G147" s="71"/>
      <c r="H147" s="67"/>
      <c r="I147" s="72"/>
      <c r="J147" s="73"/>
      <c r="K147" s="75"/>
      <c r="L147" s="75"/>
      <c r="M147" s="75"/>
      <c r="N147" s="75"/>
      <c r="O147" s="75"/>
      <c r="P147" s="75"/>
      <c r="Q147" s="75"/>
      <c r="R147" s="75"/>
      <c r="S147" s="75"/>
      <c r="T147" s="76"/>
      <c r="U147" s="75"/>
      <c r="V147" s="76"/>
      <c r="W147" s="75"/>
      <c r="X147" s="77"/>
    </row>
    <row r="148" spans="1:25" s="50" customFormat="1" ht="39" customHeight="1" x14ac:dyDescent="0.2">
      <c r="A148" s="98" t="s">
        <v>130</v>
      </c>
      <c r="B148" s="161" t="s">
        <v>131</v>
      </c>
      <c r="C148" s="162"/>
      <c r="D148" s="79" t="s">
        <v>153</v>
      </c>
      <c r="E148" s="80" t="s">
        <v>49</v>
      </c>
      <c r="F148" s="161" t="s">
        <v>154</v>
      </c>
      <c r="G148" s="163"/>
      <c r="H148" s="163"/>
      <c r="I148" s="163"/>
      <c r="J148" s="162"/>
      <c r="K148" s="81">
        <f>SUM(K149:K149)</f>
        <v>242000</v>
      </c>
      <c r="L148" s="81">
        <f t="shared" ref="L148:S148" si="85">SUM(L149:L149)</f>
        <v>0</v>
      </c>
      <c r="M148" s="81">
        <f t="shared" si="85"/>
        <v>0</v>
      </c>
      <c r="N148" s="81">
        <f t="shared" si="85"/>
        <v>242000</v>
      </c>
      <c r="O148" s="81">
        <f t="shared" si="85"/>
        <v>0</v>
      </c>
      <c r="P148" s="81">
        <f t="shared" si="85"/>
        <v>0</v>
      </c>
      <c r="Q148" s="81">
        <f t="shared" si="85"/>
        <v>0</v>
      </c>
      <c r="R148" s="81">
        <f t="shared" si="85"/>
        <v>242000</v>
      </c>
      <c r="S148" s="81">
        <f t="shared" si="85"/>
        <v>15653.19</v>
      </c>
      <c r="T148" s="82">
        <f>S148/R148</f>
        <v>6.4682603305785125E-2</v>
      </c>
      <c r="U148" s="81">
        <f>SUM(U149:U149)</f>
        <v>15653.19</v>
      </c>
      <c r="V148" s="82">
        <f>U148/R148</f>
        <v>6.4682603305785125E-2</v>
      </c>
      <c r="W148" s="81">
        <f>SUM(W149:W149)</f>
        <v>15653.19</v>
      </c>
      <c r="X148" s="83">
        <f>W148/R148</f>
        <v>6.4682603305785125E-2</v>
      </c>
      <c r="Y148" s="49"/>
    </row>
    <row r="149" spans="1:25" s="64" customFormat="1" ht="39" customHeight="1" x14ac:dyDescent="0.2">
      <c r="A149" s="91" t="s">
        <v>130</v>
      </c>
      <c r="B149" s="52" t="s">
        <v>131</v>
      </c>
      <c r="C149" s="53" t="s">
        <v>51</v>
      </c>
      <c r="D149" s="54" t="s">
        <v>153</v>
      </c>
      <c r="E149" s="55" t="s">
        <v>49</v>
      </c>
      <c r="F149" s="56" t="s">
        <v>155</v>
      </c>
      <c r="G149" s="57">
        <v>1</v>
      </c>
      <c r="H149" s="53" t="s">
        <v>134</v>
      </c>
      <c r="I149" s="97" t="s">
        <v>135</v>
      </c>
      <c r="J149" s="59">
        <v>3</v>
      </c>
      <c r="K149" s="60">
        <v>242000</v>
      </c>
      <c r="L149" s="61"/>
      <c r="M149" s="61"/>
      <c r="N149" s="60">
        <f>K149+L149-M149</f>
        <v>242000</v>
      </c>
      <c r="O149" s="61">
        <v>0</v>
      </c>
      <c r="P149" s="61">
        <v>0</v>
      </c>
      <c r="Q149" s="61">
        <v>0</v>
      </c>
      <c r="R149" s="60">
        <f>N149-O149+P149+Q149</f>
        <v>242000</v>
      </c>
      <c r="S149" s="61">
        <f>14585.7+2875.14-1807.65</f>
        <v>15653.19</v>
      </c>
      <c r="T149" s="62">
        <f>S149/R149</f>
        <v>6.4682603305785125E-2</v>
      </c>
      <c r="U149" s="61">
        <f>14585.7+2875.14-1807.65</f>
        <v>15653.19</v>
      </c>
      <c r="V149" s="62">
        <f>U149/R149</f>
        <v>6.4682603305785125E-2</v>
      </c>
      <c r="W149" s="61">
        <f>11946.98+5513.86-1807.65</f>
        <v>15653.19</v>
      </c>
      <c r="X149" s="63">
        <f>W149/R149</f>
        <v>6.4682603305785125E-2</v>
      </c>
      <c r="Y149" s="42"/>
    </row>
    <row r="150" spans="1:25" s="42" customFormat="1" ht="9" customHeight="1" x14ac:dyDescent="0.2">
      <c r="A150" s="102"/>
      <c r="B150" s="66"/>
      <c r="C150" s="67"/>
      <c r="D150" s="68"/>
      <c r="E150" s="69"/>
      <c r="F150" s="70"/>
      <c r="G150" s="71"/>
      <c r="H150" s="67"/>
      <c r="I150" s="72"/>
      <c r="J150" s="73"/>
      <c r="K150" s="75"/>
      <c r="L150" s="75"/>
      <c r="M150" s="75"/>
      <c r="N150" s="75"/>
      <c r="O150" s="75"/>
      <c r="P150" s="75"/>
      <c r="Q150" s="75"/>
      <c r="R150" s="75"/>
      <c r="S150" s="75"/>
      <c r="T150" s="76"/>
      <c r="U150" s="75"/>
      <c r="V150" s="76"/>
      <c r="W150" s="75"/>
      <c r="X150" s="77"/>
    </row>
    <row r="151" spans="1:25" s="50" customFormat="1" ht="39" customHeight="1" x14ac:dyDescent="0.2">
      <c r="A151" s="98" t="s">
        <v>130</v>
      </c>
      <c r="B151" s="161" t="s">
        <v>131</v>
      </c>
      <c r="C151" s="162"/>
      <c r="D151" s="79" t="s">
        <v>156</v>
      </c>
      <c r="E151" s="80" t="s">
        <v>49</v>
      </c>
      <c r="F151" s="161" t="s">
        <v>157</v>
      </c>
      <c r="G151" s="163"/>
      <c r="H151" s="163"/>
      <c r="I151" s="163"/>
      <c r="J151" s="162"/>
      <c r="K151" s="81">
        <f>SUM(K152:K152)</f>
        <v>1205000</v>
      </c>
      <c r="L151" s="81">
        <f t="shared" ref="L151:S151" si="86">SUM(L152:L152)</f>
        <v>0</v>
      </c>
      <c r="M151" s="81">
        <f t="shared" si="86"/>
        <v>0</v>
      </c>
      <c r="N151" s="81">
        <f t="shared" si="86"/>
        <v>1205000</v>
      </c>
      <c r="O151" s="81">
        <f t="shared" si="86"/>
        <v>0</v>
      </c>
      <c r="P151" s="81">
        <f t="shared" si="86"/>
        <v>0</v>
      </c>
      <c r="Q151" s="81">
        <f t="shared" si="86"/>
        <v>0</v>
      </c>
      <c r="R151" s="81">
        <f t="shared" si="86"/>
        <v>1205000</v>
      </c>
      <c r="S151" s="81">
        <f t="shared" si="86"/>
        <v>507647.9</v>
      </c>
      <c r="T151" s="82">
        <f>S151/R151</f>
        <v>0.42128456431535272</v>
      </c>
      <c r="U151" s="81">
        <f>SUM(U152:U152)</f>
        <v>503934.52</v>
      </c>
      <c r="V151" s="82">
        <f>U151/R151</f>
        <v>0.41820292116182572</v>
      </c>
      <c r="W151" s="81">
        <f>SUM(W152:W152)</f>
        <v>492021.52</v>
      </c>
      <c r="X151" s="83">
        <f>W151/R151</f>
        <v>0.40831661410788384</v>
      </c>
      <c r="Y151" s="49"/>
    </row>
    <row r="152" spans="1:25" s="50" customFormat="1" ht="39" customHeight="1" x14ac:dyDescent="0.2">
      <c r="A152" s="91" t="s">
        <v>130</v>
      </c>
      <c r="B152" s="52" t="s">
        <v>131</v>
      </c>
      <c r="C152" s="53" t="s">
        <v>51</v>
      </c>
      <c r="D152" s="54" t="s">
        <v>156</v>
      </c>
      <c r="E152" s="55" t="s">
        <v>49</v>
      </c>
      <c r="F152" s="56" t="s">
        <v>157</v>
      </c>
      <c r="G152" s="57">
        <v>1</v>
      </c>
      <c r="H152" s="53" t="s">
        <v>134</v>
      </c>
      <c r="I152" s="97" t="s">
        <v>135</v>
      </c>
      <c r="J152" s="59">
        <v>3</v>
      </c>
      <c r="K152" s="60">
        <v>1205000</v>
      </c>
      <c r="L152" s="61"/>
      <c r="M152" s="61"/>
      <c r="N152" s="60">
        <f t="shared" ref="N152" si="87">K152+L152-M152</f>
        <v>1205000</v>
      </c>
      <c r="O152" s="61">
        <v>0</v>
      </c>
      <c r="P152" s="61">
        <v>0</v>
      </c>
      <c r="Q152" s="61">
        <v>0</v>
      </c>
      <c r="R152" s="60">
        <f t="shared" ref="R152" si="88">N152-O152+P152+Q152</f>
        <v>1205000</v>
      </c>
      <c r="S152" s="61">
        <f>95000+97544.1+109103.8+102000+104000</f>
        <v>507647.9</v>
      </c>
      <c r="T152" s="62">
        <f>S152/R152</f>
        <v>0.42128456431535272</v>
      </c>
      <c r="U152" s="61">
        <f>93619.61+779.31+205741.9+101299+102494.7</f>
        <v>503934.52</v>
      </c>
      <c r="V152" s="62">
        <f>U152/R152</f>
        <v>0.41820292116182572</v>
      </c>
      <c r="W152" s="61">
        <f>82515.14+11779.87+193932.31+101299.5+102494.7</f>
        <v>492021.52</v>
      </c>
      <c r="X152" s="63">
        <f>W152/R152</f>
        <v>0.40831661410788384</v>
      </c>
      <c r="Y152" s="49"/>
    </row>
    <row r="153" spans="1:25" s="42" customFormat="1" ht="9" customHeight="1" x14ac:dyDescent="0.2">
      <c r="A153" s="102"/>
      <c r="B153" s="66"/>
      <c r="C153" s="67"/>
      <c r="D153" s="68"/>
      <c r="E153" s="69"/>
      <c r="F153" s="70"/>
      <c r="G153" s="71"/>
      <c r="H153" s="67"/>
      <c r="I153" s="72"/>
      <c r="J153" s="73"/>
      <c r="K153" s="75"/>
      <c r="L153" s="75"/>
      <c r="M153" s="75"/>
      <c r="N153" s="75"/>
      <c r="O153" s="75"/>
      <c r="P153" s="75"/>
      <c r="Q153" s="75"/>
      <c r="R153" s="75"/>
      <c r="S153" s="75"/>
      <c r="T153" s="76"/>
      <c r="U153" s="75"/>
      <c r="V153" s="76"/>
      <c r="W153" s="75"/>
      <c r="X153" s="77"/>
    </row>
    <row r="154" spans="1:25" s="50" customFormat="1" ht="39" customHeight="1" x14ac:dyDescent="0.2">
      <c r="A154" s="98" t="s">
        <v>130</v>
      </c>
      <c r="B154" s="161" t="s">
        <v>131</v>
      </c>
      <c r="C154" s="162"/>
      <c r="D154" s="79" t="s">
        <v>158</v>
      </c>
      <c r="E154" s="80" t="s">
        <v>49</v>
      </c>
      <c r="F154" s="161" t="s">
        <v>159</v>
      </c>
      <c r="G154" s="163"/>
      <c r="H154" s="163"/>
      <c r="I154" s="163"/>
      <c r="J154" s="162"/>
      <c r="K154" s="81">
        <f>SUM(K155:K156)</f>
        <v>30000</v>
      </c>
      <c r="L154" s="81">
        <f t="shared" ref="L154:S154" si="89">SUM(L155:L156)</f>
        <v>0</v>
      </c>
      <c r="M154" s="81">
        <f t="shared" si="89"/>
        <v>0</v>
      </c>
      <c r="N154" s="81">
        <f t="shared" si="89"/>
        <v>30000</v>
      </c>
      <c r="O154" s="81">
        <f t="shared" si="89"/>
        <v>0</v>
      </c>
      <c r="P154" s="81">
        <f t="shared" si="89"/>
        <v>0</v>
      </c>
      <c r="Q154" s="81">
        <f t="shared" si="89"/>
        <v>0</v>
      </c>
      <c r="R154" s="81">
        <f t="shared" si="89"/>
        <v>30000</v>
      </c>
      <c r="S154" s="81">
        <f t="shared" si="89"/>
        <v>0</v>
      </c>
      <c r="T154" s="82">
        <f>S154/R154</f>
        <v>0</v>
      </c>
      <c r="U154" s="81">
        <f>SUM(U155:U156)</f>
        <v>0</v>
      </c>
      <c r="V154" s="82">
        <f>U154/R154</f>
        <v>0</v>
      </c>
      <c r="W154" s="81">
        <f>SUM(W155:W156)</f>
        <v>0</v>
      </c>
      <c r="X154" s="83">
        <f>W154/R154</f>
        <v>0</v>
      </c>
      <c r="Y154" s="103"/>
    </row>
    <row r="155" spans="1:25" s="64" customFormat="1" ht="39" customHeight="1" x14ac:dyDescent="0.2">
      <c r="A155" s="91" t="s">
        <v>130</v>
      </c>
      <c r="B155" s="52" t="s">
        <v>131</v>
      </c>
      <c r="C155" s="53" t="s">
        <v>51</v>
      </c>
      <c r="D155" s="54" t="s">
        <v>158</v>
      </c>
      <c r="E155" s="55" t="s">
        <v>49</v>
      </c>
      <c r="F155" s="56" t="s">
        <v>159</v>
      </c>
      <c r="G155" s="57">
        <v>1</v>
      </c>
      <c r="H155" s="53" t="s">
        <v>52</v>
      </c>
      <c r="I155" s="58" t="s">
        <v>53</v>
      </c>
      <c r="J155" s="59">
        <v>4</v>
      </c>
      <c r="K155" s="60">
        <v>4000</v>
      </c>
      <c r="L155" s="61">
        <v>0</v>
      </c>
      <c r="M155" s="61">
        <v>0</v>
      </c>
      <c r="N155" s="60">
        <f>K155+L155-M155</f>
        <v>4000</v>
      </c>
      <c r="O155" s="61">
        <v>0</v>
      </c>
      <c r="P155" s="61">
        <v>0</v>
      </c>
      <c r="Q155" s="61">
        <v>0</v>
      </c>
      <c r="R155" s="60">
        <f>N155-O155+P155+Q155</f>
        <v>4000</v>
      </c>
      <c r="S155" s="61">
        <v>0</v>
      </c>
      <c r="T155" s="62">
        <f>S155/R155</f>
        <v>0</v>
      </c>
      <c r="U155" s="61">
        <v>0</v>
      </c>
      <c r="V155" s="62">
        <f>U155/R155</f>
        <v>0</v>
      </c>
      <c r="W155" s="61">
        <v>0</v>
      </c>
      <c r="X155" s="63">
        <f>W155/R155</f>
        <v>0</v>
      </c>
      <c r="Y155" s="104"/>
    </row>
    <row r="156" spans="1:25" s="64" customFormat="1" ht="39" customHeight="1" x14ac:dyDescent="0.2">
      <c r="A156" s="91" t="s">
        <v>130</v>
      </c>
      <c r="B156" s="52" t="s">
        <v>131</v>
      </c>
      <c r="C156" s="53" t="s">
        <v>51</v>
      </c>
      <c r="D156" s="54" t="s">
        <v>158</v>
      </c>
      <c r="E156" s="55" t="s">
        <v>49</v>
      </c>
      <c r="F156" s="56" t="s">
        <v>159</v>
      </c>
      <c r="G156" s="57">
        <v>1</v>
      </c>
      <c r="H156" s="53" t="s">
        <v>134</v>
      </c>
      <c r="I156" s="97" t="s">
        <v>135</v>
      </c>
      <c r="J156" s="59">
        <v>3</v>
      </c>
      <c r="K156" s="60">
        <v>26000</v>
      </c>
      <c r="L156" s="61">
        <v>0</v>
      </c>
      <c r="M156" s="61">
        <v>0</v>
      </c>
      <c r="N156" s="60">
        <f>K156+L156-M156</f>
        <v>26000</v>
      </c>
      <c r="O156" s="61">
        <v>0</v>
      </c>
      <c r="P156" s="61">
        <v>0</v>
      </c>
      <c r="Q156" s="61">
        <v>0</v>
      </c>
      <c r="R156" s="60">
        <f>N156-O156+P156+Q156</f>
        <v>26000</v>
      </c>
      <c r="S156" s="61">
        <v>0</v>
      </c>
      <c r="T156" s="62">
        <f>S156/R156</f>
        <v>0</v>
      </c>
      <c r="U156" s="61">
        <v>0</v>
      </c>
      <c r="V156" s="62">
        <f>U156/R156</f>
        <v>0</v>
      </c>
      <c r="W156" s="61">
        <v>0</v>
      </c>
      <c r="X156" s="63">
        <f>W156/R156</f>
        <v>0</v>
      </c>
      <c r="Y156" s="104"/>
    </row>
    <row r="157" spans="1:25" s="42" customFormat="1" ht="9" customHeight="1" x14ac:dyDescent="0.2">
      <c r="A157" s="102"/>
      <c r="B157" s="66"/>
      <c r="C157" s="67"/>
      <c r="D157" s="68"/>
      <c r="E157" s="69"/>
      <c r="F157" s="70"/>
      <c r="G157" s="71"/>
      <c r="H157" s="67"/>
      <c r="I157" s="72"/>
      <c r="J157" s="73"/>
      <c r="K157" s="75"/>
      <c r="L157" s="75"/>
      <c r="M157" s="75"/>
      <c r="N157" s="75"/>
      <c r="O157" s="75"/>
      <c r="P157" s="75"/>
      <c r="Q157" s="75"/>
      <c r="R157" s="75"/>
      <c r="S157" s="75"/>
      <c r="T157" s="76"/>
      <c r="U157" s="75"/>
      <c r="V157" s="76"/>
      <c r="W157" s="75"/>
      <c r="X157" s="77"/>
    </row>
    <row r="158" spans="1:25" s="50" customFormat="1" ht="39" customHeight="1" x14ac:dyDescent="0.2">
      <c r="A158" s="98" t="s">
        <v>130</v>
      </c>
      <c r="B158" s="161" t="s">
        <v>131</v>
      </c>
      <c r="C158" s="162"/>
      <c r="D158" s="79" t="s">
        <v>160</v>
      </c>
      <c r="E158" s="80" t="s">
        <v>49</v>
      </c>
      <c r="F158" s="161" t="s">
        <v>161</v>
      </c>
      <c r="G158" s="163"/>
      <c r="H158" s="163"/>
      <c r="I158" s="163"/>
      <c r="J158" s="162"/>
      <c r="K158" s="81">
        <f>SUM(K159:K163)</f>
        <v>8403570</v>
      </c>
      <c r="L158" s="81">
        <f t="shared" ref="L158:S158" si="90">SUM(L159:L163)</f>
        <v>1364156</v>
      </c>
      <c r="M158" s="81">
        <f t="shared" si="90"/>
        <v>180000</v>
      </c>
      <c r="N158" s="81">
        <f t="shared" si="90"/>
        <v>9587726</v>
      </c>
      <c r="O158" s="81">
        <f t="shared" si="90"/>
        <v>0</v>
      </c>
      <c r="P158" s="81">
        <f t="shared" si="90"/>
        <v>0</v>
      </c>
      <c r="Q158" s="81">
        <f t="shared" si="90"/>
        <v>0</v>
      </c>
      <c r="R158" s="81">
        <f t="shared" si="90"/>
        <v>9587726</v>
      </c>
      <c r="S158" s="81">
        <f t="shared" si="90"/>
        <v>2011947.7799999998</v>
      </c>
      <c r="T158" s="82">
        <f t="shared" ref="T158:T163" si="91">S158/R158</f>
        <v>0.20984619084859119</v>
      </c>
      <c r="U158" s="81">
        <f>SUM(U159:U163)</f>
        <v>867419.42000000016</v>
      </c>
      <c r="V158" s="82">
        <f t="shared" ref="V158:V163" si="92">U158/R158</f>
        <v>9.0471861628085765E-2</v>
      </c>
      <c r="W158" s="81">
        <f>SUM(W159:W163)</f>
        <v>850071.98</v>
      </c>
      <c r="X158" s="83">
        <f t="shared" ref="X158:X163" si="93">W158/R158</f>
        <v>8.8662523313661659E-2</v>
      </c>
      <c r="Y158" s="49"/>
    </row>
    <row r="159" spans="1:25" s="64" customFormat="1" ht="39" customHeight="1" x14ac:dyDescent="0.2">
      <c r="A159" s="91" t="s">
        <v>130</v>
      </c>
      <c r="B159" s="52" t="s">
        <v>131</v>
      </c>
      <c r="C159" s="53" t="s">
        <v>51</v>
      </c>
      <c r="D159" s="54" t="s">
        <v>160</v>
      </c>
      <c r="E159" s="55" t="s">
        <v>49</v>
      </c>
      <c r="F159" s="56" t="s">
        <v>161</v>
      </c>
      <c r="G159" s="57">
        <v>1</v>
      </c>
      <c r="H159" s="53" t="s">
        <v>52</v>
      </c>
      <c r="I159" s="58" t="s">
        <v>53</v>
      </c>
      <c r="J159" s="53" t="s">
        <v>162</v>
      </c>
      <c r="K159" s="60">
        <v>1628000</v>
      </c>
      <c r="L159" s="61">
        <v>0</v>
      </c>
      <c r="M159" s="61">
        <v>0</v>
      </c>
      <c r="N159" s="60">
        <f>K159+L159-M159</f>
        <v>1628000</v>
      </c>
      <c r="O159" s="61">
        <v>0</v>
      </c>
      <c r="P159" s="61">
        <v>0</v>
      </c>
      <c r="Q159" s="61">
        <v>0</v>
      </c>
      <c r="R159" s="60">
        <f>N159-O159+P159+Q159</f>
        <v>1628000</v>
      </c>
      <c r="S159" s="61">
        <f>164289.03</f>
        <v>164289.03</v>
      </c>
      <c r="T159" s="62">
        <f t="shared" si="91"/>
        <v>0.10091463759213759</v>
      </c>
      <c r="U159" s="61">
        <v>0</v>
      </c>
      <c r="V159" s="62">
        <f t="shared" si="92"/>
        <v>0</v>
      </c>
      <c r="W159" s="61">
        <v>0</v>
      </c>
      <c r="X159" s="63">
        <f t="shared" si="93"/>
        <v>0</v>
      </c>
      <c r="Y159" s="42"/>
    </row>
    <row r="160" spans="1:25" s="64" customFormat="1" ht="39" customHeight="1" x14ac:dyDescent="0.2">
      <c r="A160" s="91" t="s">
        <v>130</v>
      </c>
      <c r="B160" s="52" t="s">
        <v>131</v>
      </c>
      <c r="C160" s="53" t="s">
        <v>51</v>
      </c>
      <c r="D160" s="54" t="s">
        <v>160</v>
      </c>
      <c r="E160" s="55" t="s">
        <v>49</v>
      </c>
      <c r="F160" s="56" t="s">
        <v>161</v>
      </c>
      <c r="G160" s="57">
        <v>1</v>
      </c>
      <c r="H160" s="53" t="s">
        <v>52</v>
      </c>
      <c r="I160" s="58" t="s">
        <v>53</v>
      </c>
      <c r="J160" s="53" t="s">
        <v>163</v>
      </c>
      <c r="K160" s="60">
        <v>100000</v>
      </c>
      <c r="L160" s="61">
        <v>0</v>
      </c>
      <c r="M160" s="61">
        <v>0</v>
      </c>
      <c r="N160" s="60">
        <f>K160+L160-M160</f>
        <v>100000</v>
      </c>
      <c r="O160" s="61">
        <v>0</v>
      </c>
      <c r="P160" s="61">
        <v>0</v>
      </c>
      <c r="Q160" s="61">
        <v>0</v>
      </c>
      <c r="R160" s="60">
        <f>N160-O160+P160+Q160</f>
        <v>100000</v>
      </c>
      <c r="S160" s="61">
        <v>0</v>
      </c>
      <c r="T160" s="62">
        <f t="shared" si="91"/>
        <v>0</v>
      </c>
      <c r="U160" s="61">
        <v>0</v>
      </c>
      <c r="V160" s="62">
        <f t="shared" si="92"/>
        <v>0</v>
      </c>
      <c r="W160" s="61">
        <v>0</v>
      </c>
      <c r="X160" s="63">
        <f t="shared" si="93"/>
        <v>0</v>
      </c>
      <c r="Y160" s="42"/>
    </row>
    <row r="161" spans="1:25" s="64" customFormat="1" ht="39" customHeight="1" x14ac:dyDescent="0.2">
      <c r="A161" s="91" t="s">
        <v>130</v>
      </c>
      <c r="B161" s="52" t="s">
        <v>131</v>
      </c>
      <c r="C161" s="53" t="s">
        <v>51</v>
      </c>
      <c r="D161" s="54" t="s">
        <v>160</v>
      </c>
      <c r="E161" s="55" t="s">
        <v>49</v>
      </c>
      <c r="F161" s="56" t="s">
        <v>161</v>
      </c>
      <c r="G161" s="57">
        <v>1</v>
      </c>
      <c r="H161" s="53" t="s">
        <v>134</v>
      </c>
      <c r="I161" s="97" t="s">
        <v>135</v>
      </c>
      <c r="J161" s="59">
        <v>3</v>
      </c>
      <c r="K161" s="60">
        <v>6675570</v>
      </c>
      <c r="L161" s="61">
        <v>0</v>
      </c>
      <c r="M161" s="61">
        <v>0</v>
      </c>
      <c r="N161" s="60">
        <f>K161+L161-M161</f>
        <v>6675570</v>
      </c>
      <c r="O161" s="61">
        <v>0</v>
      </c>
      <c r="P161" s="61">
        <v>0</v>
      </c>
      <c r="Q161" s="61">
        <v>0</v>
      </c>
      <c r="R161" s="60">
        <f>N161-O161+P161+Q161</f>
        <v>6675570</v>
      </c>
      <c r="S161" s="61">
        <f>172701.9+505968.56+588916.42+332608.63+169202.49</f>
        <v>1769397.9999999998</v>
      </c>
      <c r="T161" s="62">
        <f t="shared" si="91"/>
        <v>0.26505571808849276</v>
      </c>
      <c r="U161" s="61">
        <f>22410.18+105645.92+89339.31+325309.02+283371.21</f>
        <v>826075.64000000013</v>
      </c>
      <c r="V161" s="62">
        <f t="shared" si="92"/>
        <v>0.12374608310601194</v>
      </c>
      <c r="W161" s="61">
        <f>9186.93+113226.17+94982.31+229941.04+361391.75</f>
        <v>808728.2</v>
      </c>
      <c r="X161" s="63">
        <f t="shared" si="93"/>
        <v>0.12114743759708908</v>
      </c>
      <c r="Y161" s="42"/>
    </row>
    <row r="162" spans="1:25" s="64" customFormat="1" ht="39" customHeight="1" x14ac:dyDescent="0.2">
      <c r="A162" s="91" t="s">
        <v>130</v>
      </c>
      <c r="B162" s="52" t="s">
        <v>131</v>
      </c>
      <c r="C162" s="53" t="s">
        <v>51</v>
      </c>
      <c r="D162" s="54" t="s">
        <v>160</v>
      </c>
      <c r="E162" s="55" t="s">
        <v>49</v>
      </c>
      <c r="F162" s="56" t="s">
        <v>161</v>
      </c>
      <c r="G162" s="57">
        <v>1</v>
      </c>
      <c r="H162" s="99" t="s">
        <v>142</v>
      </c>
      <c r="I162" s="101" t="s">
        <v>143</v>
      </c>
      <c r="J162" s="59">
        <v>3</v>
      </c>
      <c r="K162" s="60">
        <v>0</v>
      </c>
      <c r="L162" s="61">
        <f>922356</f>
        <v>922356</v>
      </c>
      <c r="M162" s="61">
        <v>0</v>
      </c>
      <c r="N162" s="60">
        <f t="shared" ref="N162:N163" si="94">K162+L162-M162</f>
        <v>922356</v>
      </c>
      <c r="O162" s="61">
        <v>0</v>
      </c>
      <c r="P162" s="61">
        <v>0</v>
      </c>
      <c r="Q162" s="61">
        <v>0</v>
      </c>
      <c r="R162" s="60">
        <f t="shared" ref="R162:R163" si="95">N162-O162+P162+Q162</f>
        <v>922356</v>
      </c>
      <c r="S162" s="61">
        <f>42000+36260.75</f>
        <v>78260.75</v>
      </c>
      <c r="T162" s="62">
        <f t="shared" si="91"/>
        <v>8.4848746037321815E-2</v>
      </c>
      <c r="U162" s="61">
        <f>41343.78</f>
        <v>41343.78</v>
      </c>
      <c r="V162" s="62">
        <f t="shared" si="92"/>
        <v>4.4824102624149459E-2</v>
      </c>
      <c r="W162" s="61">
        <f>2184.24+39159.54</f>
        <v>41343.78</v>
      </c>
      <c r="X162" s="63">
        <f t="shared" si="93"/>
        <v>4.4824102624149459E-2</v>
      </c>
      <c r="Y162" s="42"/>
    </row>
    <row r="163" spans="1:25" s="64" customFormat="1" ht="39" customHeight="1" x14ac:dyDescent="0.2">
      <c r="A163" s="91" t="s">
        <v>130</v>
      </c>
      <c r="B163" s="52" t="s">
        <v>131</v>
      </c>
      <c r="C163" s="53" t="s">
        <v>51</v>
      </c>
      <c r="D163" s="54" t="s">
        <v>160</v>
      </c>
      <c r="E163" s="55" t="s">
        <v>49</v>
      </c>
      <c r="F163" s="56" t="s">
        <v>161</v>
      </c>
      <c r="G163" s="57">
        <v>1</v>
      </c>
      <c r="H163" s="99" t="s">
        <v>142</v>
      </c>
      <c r="I163" s="101" t="s">
        <v>143</v>
      </c>
      <c r="J163" s="59">
        <v>4</v>
      </c>
      <c r="K163" s="60">
        <v>0</v>
      </c>
      <c r="L163" s="61">
        <f>441800</f>
        <v>441800</v>
      </c>
      <c r="M163" s="61">
        <f>180000</f>
        <v>180000</v>
      </c>
      <c r="N163" s="60">
        <f t="shared" si="94"/>
        <v>261800</v>
      </c>
      <c r="O163" s="61">
        <v>0</v>
      </c>
      <c r="P163" s="61">
        <v>0</v>
      </c>
      <c r="Q163" s="61">
        <v>0</v>
      </c>
      <c r="R163" s="60">
        <f t="shared" si="95"/>
        <v>261800</v>
      </c>
      <c r="S163" s="61">
        <v>0</v>
      </c>
      <c r="T163" s="62">
        <f t="shared" si="91"/>
        <v>0</v>
      </c>
      <c r="U163" s="61">
        <v>0</v>
      </c>
      <c r="V163" s="62">
        <f t="shared" si="92"/>
        <v>0</v>
      </c>
      <c r="W163" s="61">
        <v>0</v>
      </c>
      <c r="X163" s="63">
        <f t="shared" si="93"/>
        <v>0</v>
      </c>
      <c r="Y163" s="42"/>
    </row>
    <row r="164" spans="1:25" s="42" customFormat="1" ht="9" customHeight="1" x14ac:dyDescent="0.2">
      <c r="A164" s="65"/>
      <c r="B164" s="66"/>
      <c r="C164" s="67"/>
      <c r="D164" s="68"/>
      <c r="E164" s="69"/>
      <c r="F164" s="70"/>
      <c r="G164" s="71"/>
      <c r="H164" s="67"/>
      <c r="I164" s="72"/>
      <c r="J164" s="73"/>
      <c r="K164" s="74"/>
      <c r="L164" s="75"/>
      <c r="M164" s="75"/>
      <c r="N164" s="74"/>
      <c r="O164" s="75"/>
      <c r="P164" s="75"/>
      <c r="Q164" s="75"/>
      <c r="R164" s="74"/>
      <c r="S164" s="75"/>
      <c r="T164" s="76"/>
      <c r="U164" s="75"/>
      <c r="V164" s="76"/>
      <c r="W164" s="75"/>
      <c r="X164" s="77"/>
    </row>
    <row r="165" spans="1:25" s="50" customFormat="1" ht="39" customHeight="1" x14ac:dyDescent="0.2">
      <c r="A165" s="98" t="s">
        <v>130</v>
      </c>
      <c r="B165" s="161" t="s">
        <v>131</v>
      </c>
      <c r="C165" s="162"/>
      <c r="D165" s="79" t="s">
        <v>164</v>
      </c>
      <c r="E165" s="80" t="s">
        <v>49</v>
      </c>
      <c r="F165" s="161" t="s">
        <v>165</v>
      </c>
      <c r="G165" s="163"/>
      <c r="H165" s="163"/>
      <c r="I165" s="163"/>
      <c r="J165" s="162"/>
      <c r="K165" s="81">
        <f>SUM(K166:K169)</f>
        <v>1563830</v>
      </c>
      <c r="L165" s="81">
        <f t="shared" ref="L165:S165" si="96">SUM(L166:L169)</f>
        <v>200000</v>
      </c>
      <c r="M165" s="81">
        <f t="shared" si="96"/>
        <v>0</v>
      </c>
      <c r="N165" s="81">
        <f t="shared" si="96"/>
        <v>1763830</v>
      </c>
      <c r="O165" s="81">
        <f t="shared" si="96"/>
        <v>0</v>
      </c>
      <c r="P165" s="81">
        <f t="shared" si="96"/>
        <v>0</v>
      </c>
      <c r="Q165" s="81">
        <f t="shared" si="96"/>
        <v>0</v>
      </c>
      <c r="R165" s="81">
        <f t="shared" si="96"/>
        <v>1763830</v>
      </c>
      <c r="S165" s="81">
        <f t="shared" si="96"/>
        <v>160578.46</v>
      </c>
      <c r="T165" s="82">
        <f>S165/R165</f>
        <v>9.1039646677967823E-2</v>
      </c>
      <c r="U165" s="81">
        <f>SUM(U166:U169)</f>
        <v>138086.92000000001</v>
      </c>
      <c r="V165" s="82">
        <f>U165/R165</f>
        <v>7.8288111666090274E-2</v>
      </c>
      <c r="W165" s="81">
        <f>SUM(W166:W169)</f>
        <v>114875.78</v>
      </c>
      <c r="X165" s="83">
        <f>W165/R165</f>
        <v>6.5128600828878072E-2</v>
      </c>
      <c r="Y165" s="49"/>
    </row>
    <row r="166" spans="1:25" s="64" customFormat="1" ht="39" customHeight="1" x14ac:dyDescent="0.2">
      <c r="A166" s="91" t="s">
        <v>130</v>
      </c>
      <c r="B166" s="52" t="s">
        <v>131</v>
      </c>
      <c r="C166" s="53" t="s">
        <v>51</v>
      </c>
      <c r="D166" s="54" t="s">
        <v>164</v>
      </c>
      <c r="E166" s="55" t="s">
        <v>49</v>
      </c>
      <c r="F166" s="56" t="s">
        <v>165</v>
      </c>
      <c r="G166" s="57">
        <v>1</v>
      </c>
      <c r="H166" s="53" t="s">
        <v>52</v>
      </c>
      <c r="I166" s="58" t="s">
        <v>53</v>
      </c>
      <c r="J166" s="53" t="s">
        <v>162</v>
      </c>
      <c r="K166" s="60">
        <v>600000</v>
      </c>
      <c r="L166" s="61">
        <v>0</v>
      </c>
      <c r="M166" s="61">
        <v>0</v>
      </c>
      <c r="N166" s="60">
        <f>K166+L166-M166</f>
        <v>600000</v>
      </c>
      <c r="O166" s="61">
        <v>0</v>
      </c>
      <c r="P166" s="61">
        <v>0</v>
      </c>
      <c r="Q166" s="61">
        <v>0</v>
      </c>
      <c r="R166" s="60">
        <f>N166-O166+P166+Q166</f>
        <v>600000</v>
      </c>
      <c r="S166" s="61">
        <v>0</v>
      </c>
      <c r="T166" s="62">
        <f>S166/R166</f>
        <v>0</v>
      </c>
      <c r="U166" s="61">
        <v>0</v>
      </c>
      <c r="V166" s="62">
        <f>U166/R166</f>
        <v>0</v>
      </c>
      <c r="W166" s="61">
        <v>0</v>
      </c>
      <c r="X166" s="63">
        <f>W166/R166</f>
        <v>0</v>
      </c>
      <c r="Y166" s="42"/>
    </row>
    <row r="167" spans="1:25" s="64" customFormat="1" ht="39" customHeight="1" x14ac:dyDescent="0.2">
      <c r="A167" s="91" t="s">
        <v>130</v>
      </c>
      <c r="B167" s="52" t="s">
        <v>131</v>
      </c>
      <c r="C167" s="53" t="s">
        <v>51</v>
      </c>
      <c r="D167" s="54" t="s">
        <v>164</v>
      </c>
      <c r="E167" s="55" t="s">
        <v>49</v>
      </c>
      <c r="F167" s="56" t="s">
        <v>165</v>
      </c>
      <c r="G167" s="57">
        <v>1</v>
      </c>
      <c r="H167" s="53" t="s">
        <v>52</v>
      </c>
      <c r="I167" s="58" t="s">
        <v>53</v>
      </c>
      <c r="J167" s="53" t="s">
        <v>163</v>
      </c>
      <c r="K167" s="60">
        <v>10000</v>
      </c>
      <c r="L167" s="61">
        <v>0</v>
      </c>
      <c r="M167" s="61">
        <v>0</v>
      </c>
      <c r="N167" s="60">
        <f>K167+L167-M167</f>
        <v>10000</v>
      </c>
      <c r="O167" s="61">
        <v>0</v>
      </c>
      <c r="P167" s="61">
        <v>0</v>
      </c>
      <c r="Q167" s="61">
        <v>0</v>
      </c>
      <c r="R167" s="60">
        <f>N167-O167+P167+Q167</f>
        <v>10000</v>
      </c>
      <c r="S167" s="61">
        <v>0</v>
      </c>
      <c r="T167" s="62">
        <f>S167/R167</f>
        <v>0</v>
      </c>
      <c r="U167" s="61">
        <v>0</v>
      </c>
      <c r="V167" s="62">
        <f>U167/R167</f>
        <v>0</v>
      </c>
      <c r="W167" s="61">
        <v>0</v>
      </c>
      <c r="X167" s="63">
        <f>W167/R167</f>
        <v>0</v>
      </c>
      <c r="Y167" s="42"/>
    </row>
    <row r="168" spans="1:25" s="64" customFormat="1" ht="39" customHeight="1" x14ac:dyDescent="0.2">
      <c r="A168" s="91" t="s">
        <v>130</v>
      </c>
      <c r="B168" s="52" t="s">
        <v>131</v>
      </c>
      <c r="C168" s="53" t="s">
        <v>51</v>
      </c>
      <c r="D168" s="54" t="s">
        <v>164</v>
      </c>
      <c r="E168" s="55" t="s">
        <v>49</v>
      </c>
      <c r="F168" s="56" t="s">
        <v>165</v>
      </c>
      <c r="G168" s="57">
        <v>1</v>
      </c>
      <c r="H168" s="53" t="s">
        <v>134</v>
      </c>
      <c r="I168" s="97" t="s">
        <v>166</v>
      </c>
      <c r="J168" s="59">
        <v>3</v>
      </c>
      <c r="K168" s="60">
        <v>953830</v>
      </c>
      <c r="L168" s="61">
        <v>0</v>
      </c>
      <c r="M168" s="61">
        <v>0</v>
      </c>
      <c r="N168" s="60">
        <f>K168+L168-M168</f>
        <v>953830</v>
      </c>
      <c r="O168" s="61">
        <v>0</v>
      </c>
      <c r="P168" s="61">
        <v>0</v>
      </c>
      <c r="Q168" s="61">
        <v>0</v>
      </c>
      <c r="R168" s="60">
        <f>N168-O168+P168+Q168</f>
        <v>953830</v>
      </c>
      <c r="S168" s="61">
        <f>27910.4+25906.28+82693.1+24068.68</f>
        <v>160578.46</v>
      </c>
      <c r="T168" s="62">
        <f>S168/R168</f>
        <v>0.16835123659352294</v>
      </c>
      <c r="U168" s="61">
        <f>6917.92+7510.1+76508.24+47150.66</f>
        <v>138086.92000000001</v>
      </c>
      <c r="V168" s="62">
        <f>U168/R168</f>
        <v>0.1447709969281738</v>
      </c>
      <c r="W168" s="61">
        <f>6917.92+7510.1+50094.52+50353.24</f>
        <v>114875.78</v>
      </c>
      <c r="X168" s="63">
        <f>W168/R168</f>
        <v>0.12043632513131271</v>
      </c>
      <c r="Y168" s="42"/>
    </row>
    <row r="169" spans="1:25" s="64" customFormat="1" ht="39" customHeight="1" x14ac:dyDescent="0.2">
      <c r="A169" s="91" t="s">
        <v>130</v>
      </c>
      <c r="B169" s="52" t="s">
        <v>131</v>
      </c>
      <c r="C169" s="53" t="s">
        <v>51</v>
      </c>
      <c r="D169" s="54" t="s">
        <v>164</v>
      </c>
      <c r="E169" s="55" t="s">
        <v>49</v>
      </c>
      <c r="F169" s="56" t="s">
        <v>165</v>
      </c>
      <c r="G169" s="57">
        <v>1</v>
      </c>
      <c r="H169" s="99" t="s">
        <v>142</v>
      </c>
      <c r="I169" s="101" t="s">
        <v>143</v>
      </c>
      <c r="J169" s="59">
        <v>3</v>
      </c>
      <c r="K169" s="60">
        <v>0</v>
      </c>
      <c r="L169" s="61">
        <f>200000</f>
        <v>200000</v>
      </c>
      <c r="M169" s="61">
        <v>0</v>
      </c>
      <c r="N169" s="60">
        <f>K169+L169-M169</f>
        <v>200000</v>
      </c>
      <c r="O169" s="61">
        <v>0</v>
      </c>
      <c r="P169" s="61">
        <v>0</v>
      </c>
      <c r="Q169" s="61">
        <v>0</v>
      </c>
      <c r="R169" s="60">
        <f>N169-O169+P169+Q169</f>
        <v>200000</v>
      </c>
      <c r="S169" s="61">
        <v>0</v>
      </c>
      <c r="T169" s="62">
        <f>S169/R169</f>
        <v>0</v>
      </c>
      <c r="U169" s="61">
        <v>0</v>
      </c>
      <c r="V169" s="62">
        <f>U169/R169</f>
        <v>0</v>
      </c>
      <c r="W169" s="61">
        <v>0</v>
      </c>
      <c r="X169" s="63">
        <f>W169/R169</f>
        <v>0</v>
      </c>
      <c r="Y169" s="42"/>
    </row>
    <row r="170" spans="1:25" s="42" customFormat="1" ht="9" customHeight="1" x14ac:dyDescent="0.2">
      <c r="A170" s="65"/>
      <c r="B170" s="66"/>
      <c r="C170" s="67"/>
      <c r="D170" s="68"/>
      <c r="E170" s="69"/>
      <c r="F170" s="70"/>
      <c r="G170" s="71"/>
      <c r="H170" s="67"/>
      <c r="I170" s="72"/>
      <c r="J170" s="73"/>
      <c r="K170" s="74"/>
      <c r="L170" s="75"/>
      <c r="M170" s="75"/>
      <c r="N170" s="74"/>
      <c r="O170" s="75"/>
      <c r="P170" s="75"/>
      <c r="Q170" s="75"/>
      <c r="R170" s="74"/>
      <c r="S170" s="75"/>
      <c r="T170" s="76"/>
      <c r="U170" s="75"/>
      <c r="V170" s="76"/>
      <c r="W170" s="75"/>
      <c r="X170" s="77"/>
    </row>
    <row r="171" spans="1:25" s="50" customFormat="1" ht="39" customHeight="1" x14ac:dyDescent="0.2">
      <c r="A171" s="98" t="s">
        <v>130</v>
      </c>
      <c r="B171" s="161" t="s">
        <v>131</v>
      </c>
      <c r="C171" s="162"/>
      <c r="D171" s="79" t="s">
        <v>167</v>
      </c>
      <c r="E171" s="80" t="s">
        <v>49</v>
      </c>
      <c r="F171" s="161" t="s">
        <v>168</v>
      </c>
      <c r="G171" s="163"/>
      <c r="H171" s="163"/>
      <c r="I171" s="163"/>
      <c r="J171" s="162"/>
      <c r="K171" s="81">
        <f>SUM(K172:K173)</f>
        <v>2161685</v>
      </c>
      <c r="L171" s="81">
        <f t="shared" ref="L171:S171" si="97">SUM(L172:L173)</f>
        <v>0</v>
      </c>
      <c r="M171" s="81">
        <f t="shared" si="97"/>
        <v>0</v>
      </c>
      <c r="N171" s="81">
        <f t="shared" si="97"/>
        <v>2161685</v>
      </c>
      <c r="O171" s="81">
        <f t="shared" si="97"/>
        <v>0</v>
      </c>
      <c r="P171" s="81">
        <f t="shared" si="97"/>
        <v>0</v>
      </c>
      <c r="Q171" s="81">
        <f t="shared" si="97"/>
        <v>0</v>
      </c>
      <c r="R171" s="81">
        <f t="shared" si="97"/>
        <v>2161685</v>
      </c>
      <c r="S171" s="81">
        <f t="shared" si="97"/>
        <v>594659.02</v>
      </c>
      <c r="T171" s="82">
        <f>S171/R171</f>
        <v>0.27509050578599564</v>
      </c>
      <c r="U171" s="81">
        <f>SUM(U172:U173)</f>
        <v>316395.54000000004</v>
      </c>
      <c r="V171" s="82">
        <f>U171/R171</f>
        <v>0.14636523822851158</v>
      </c>
      <c r="W171" s="81">
        <f>SUM(W172:W173)</f>
        <v>308916.76</v>
      </c>
      <c r="X171" s="83">
        <f>W171/R171</f>
        <v>0.14290553896613059</v>
      </c>
      <c r="Y171" s="49"/>
    </row>
    <row r="172" spans="1:25" s="64" customFormat="1" ht="39" customHeight="1" x14ac:dyDescent="0.2">
      <c r="A172" s="91" t="s">
        <v>130</v>
      </c>
      <c r="B172" s="52" t="s">
        <v>131</v>
      </c>
      <c r="C172" s="53" t="s">
        <v>51</v>
      </c>
      <c r="D172" s="54" t="s">
        <v>167</v>
      </c>
      <c r="E172" s="55" t="s">
        <v>49</v>
      </c>
      <c r="F172" s="56" t="s">
        <v>169</v>
      </c>
      <c r="G172" s="57">
        <v>1</v>
      </c>
      <c r="H172" s="53" t="s">
        <v>52</v>
      </c>
      <c r="I172" s="58" t="s">
        <v>53</v>
      </c>
      <c r="J172" s="59">
        <v>4</v>
      </c>
      <c r="K172" s="60">
        <v>10000</v>
      </c>
      <c r="L172" s="61">
        <v>0</v>
      </c>
      <c r="M172" s="61">
        <v>0</v>
      </c>
      <c r="N172" s="60">
        <f>K172+L172-M172</f>
        <v>10000</v>
      </c>
      <c r="O172" s="61">
        <v>0</v>
      </c>
      <c r="P172" s="61">
        <v>0</v>
      </c>
      <c r="Q172" s="61">
        <v>0</v>
      </c>
      <c r="R172" s="60">
        <f>N172-O172+P172+Q172</f>
        <v>10000</v>
      </c>
      <c r="S172" s="61">
        <v>0</v>
      </c>
      <c r="T172" s="62">
        <f t="shared" ref="T172:T173" si="98">S172/R172</f>
        <v>0</v>
      </c>
      <c r="U172" s="61">
        <v>0</v>
      </c>
      <c r="V172" s="62">
        <f t="shared" ref="V172:V173" si="99">U172/R172</f>
        <v>0</v>
      </c>
      <c r="W172" s="61">
        <v>0</v>
      </c>
      <c r="X172" s="63">
        <f t="shared" ref="X172:X173" si="100">W172/R172</f>
        <v>0</v>
      </c>
      <c r="Y172" s="42"/>
    </row>
    <row r="173" spans="1:25" s="64" customFormat="1" ht="39" customHeight="1" x14ac:dyDescent="0.2">
      <c r="A173" s="91" t="s">
        <v>130</v>
      </c>
      <c r="B173" s="52" t="s">
        <v>131</v>
      </c>
      <c r="C173" s="53" t="s">
        <v>51</v>
      </c>
      <c r="D173" s="54" t="s">
        <v>167</v>
      </c>
      <c r="E173" s="55" t="s">
        <v>49</v>
      </c>
      <c r="F173" s="56" t="s">
        <v>169</v>
      </c>
      <c r="G173" s="57">
        <v>1</v>
      </c>
      <c r="H173" s="53" t="s">
        <v>134</v>
      </c>
      <c r="I173" s="97" t="s">
        <v>135</v>
      </c>
      <c r="J173" s="59">
        <v>3</v>
      </c>
      <c r="K173" s="60">
        <v>2151685</v>
      </c>
      <c r="L173" s="61">
        <v>0</v>
      </c>
      <c r="M173" s="61">
        <v>0</v>
      </c>
      <c r="N173" s="60">
        <f>K173+L173-M173</f>
        <v>2151685</v>
      </c>
      <c r="O173" s="61">
        <v>0</v>
      </c>
      <c r="P173" s="61">
        <v>0</v>
      </c>
      <c r="Q173" s="61">
        <v>0</v>
      </c>
      <c r="R173" s="60">
        <f>N173-O173+P173+Q173</f>
        <v>2151685</v>
      </c>
      <c r="S173" s="61">
        <f>6939.9+109509.47+197300.87+163527.03+117381.75</f>
        <v>594659.02</v>
      </c>
      <c r="T173" s="62">
        <f t="shared" si="98"/>
        <v>0.27636899453219221</v>
      </c>
      <c r="U173" s="61">
        <f>4500+10549.72+98722.16+100304.63+102319.03</f>
        <v>316395.54000000004</v>
      </c>
      <c r="V173" s="62">
        <f t="shared" si="99"/>
        <v>0.14704547366366361</v>
      </c>
      <c r="W173" s="61">
        <f>4500+10549.72+98722.16+100304.63+94840.25</f>
        <v>308916.76</v>
      </c>
      <c r="X173" s="63">
        <f t="shared" si="100"/>
        <v>0.1435696953782733</v>
      </c>
      <c r="Y173" s="42"/>
    </row>
    <row r="174" spans="1:25" s="42" customFormat="1" ht="9" customHeight="1" x14ac:dyDescent="0.2">
      <c r="A174" s="102"/>
      <c r="B174" s="66"/>
      <c r="C174" s="67"/>
      <c r="D174" s="68"/>
      <c r="E174" s="69"/>
      <c r="F174" s="70"/>
      <c r="G174" s="71"/>
      <c r="H174" s="67"/>
      <c r="I174" s="72"/>
      <c r="J174" s="73"/>
      <c r="K174" s="75"/>
      <c r="L174" s="75"/>
      <c r="M174" s="75"/>
      <c r="N174" s="75"/>
      <c r="O174" s="75"/>
      <c r="P174" s="75"/>
      <c r="Q174" s="75"/>
      <c r="R174" s="75"/>
      <c r="S174" s="75"/>
      <c r="T174" s="76"/>
      <c r="U174" s="75"/>
      <c r="V174" s="76"/>
      <c r="W174" s="75"/>
      <c r="X174" s="77"/>
    </row>
    <row r="175" spans="1:25" s="50" customFormat="1" ht="39" customHeight="1" x14ac:dyDescent="0.2">
      <c r="A175" s="98" t="s">
        <v>130</v>
      </c>
      <c r="B175" s="161" t="s">
        <v>131</v>
      </c>
      <c r="C175" s="162"/>
      <c r="D175" s="79" t="s">
        <v>170</v>
      </c>
      <c r="E175" s="80" t="s">
        <v>49</v>
      </c>
      <c r="F175" s="161" t="s">
        <v>59</v>
      </c>
      <c r="G175" s="163"/>
      <c r="H175" s="163"/>
      <c r="I175" s="163"/>
      <c r="J175" s="162"/>
      <c r="K175" s="81">
        <f>SUM(K176:K179)</f>
        <v>8804150</v>
      </c>
      <c r="L175" s="81">
        <f t="shared" ref="L175:S175" si="101">SUM(L176:L179)</f>
        <v>796105.56</v>
      </c>
      <c r="M175" s="81">
        <f t="shared" si="101"/>
        <v>0</v>
      </c>
      <c r="N175" s="81">
        <f t="shared" si="101"/>
        <v>9600255.5600000005</v>
      </c>
      <c r="O175" s="81">
        <f t="shared" si="101"/>
        <v>0</v>
      </c>
      <c r="P175" s="81">
        <f t="shared" si="101"/>
        <v>0</v>
      </c>
      <c r="Q175" s="81">
        <f t="shared" si="101"/>
        <v>-401161.06000000006</v>
      </c>
      <c r="R175" s="81">
        <f t="shared" si="101"/>
        <v>9199094.5</v>
      </c>
      <c r="S175" s="81">
        <f t="shared" si="101"/>
        <v>2414271.8000000003</v>
      </c>
      <c r="T175" s="82">
        <f>S175/R175</f>
        <v>0.26244667885518519</v>
      </c>
      <c r="U175" s="81">
        <f>SUM(U176:U179)</f>
        <v>1972509.5000000002</v>
      </c>
      <c r="V175" s="82">
        <f>U175/R175</f>
        <v>0.21442431100147957</v>
      </c>
      <c r="W175" s="81">
        <f>SUM(W176:W179)</f>
        <v>1972508.9000000001</v>
      </c>
      <c r="X175" s="83">
        <f>W175/R175</f>
        <v>0.21442424577766867</v>
      </c>
      <c r="Y175" s="49"/>
    </row>
    <row r="176" spans="1:25" s="64" customFormat="1" ht="39" customHeight="1" x14ac:dyDescent="0.2">
      <c r="A176" s="91" t="s">
        <v>130</v>
      </c>
      <c r="B176" s="52" t="s">
        <v>131</v>
      </c>
      <c r="C176" s="53" t="s">
        <v>51</v>
      </c>
      <c r="D176" s="54" t="s">
        <v>170</v>
      </c>
      <c r="E176" s="55" t="s">
        <v>49</v>
      </c>
      <c r="F176" s="56" t="s">
        <v>171</v>
      </c>
      <c r="G176" s="57">
        <v>1</v>
      </c>
      <c r="H176" s="53" t="s">
        <v>52</v>
      </c>
      <c r="I176" s="58" t="s">
        <v>53</v>
      </c>
      <c r="J176" s="59">
        <v>4</v>
      </c>
      <c r="K176" s="60">
        <v>270000</v>
      </c>
      <c r="L176" s="61">
        <v>0</v>
      </c>
      <c r="M176" s="61">
        <v>0</v>
      </c>
      <c r="N176" s="60">
        <f>K176+L176-M176</f>
        <v>270000</v>
      </c>
      <c r="O176" s="61">
        <v>0</v>
      </c>
      <c r="P176" s="61">
        <v>0</v>
      </c>
      <c r="Q176" s="61">
        <v>0</v>
      </c>
      <c r="R176" s="60">
        <f>N176-O176+P176+Q176</f>
        <v>270000</v>
      </c>
      <c r="S176" s="61">
        <f>979.2</f>
        <v>979.2</v>
      </c>
      <c r="T176" s="62">
        <f>S176/R176</f>
        <v>3.6266666666666669E-3</v>
      </c>
      <c r="U176" s="61">
        <f>979.2</f>
        <v>979.2</v>
      </c>
      <c r="V176" s="62">
        <f>U176/R176</f>
        <v>3.6266666666666669E-3</v>
      </c>
      <c r="W176" s="61">
        <f>979.2</f>
        <v>979.2</v>
      </c>
      <c r="X176" s="63">
        <f>W176/R176</f>
        <v>3.6266666666666669E-3</v>
      </c>
      <c r="Y176" s="42"/>
    </row>
    <row r="177" spans="1:25" s="64" customFormat="1" ht="39" customHeight="1" x14ac:dyDescent="0.2">
      <c r="A177" s="91" t="s">
        <v>130</v>
      </c>
      <c r="B177" s="52" t="s">
        <v>131</v>
      </c>
      <c r="C177" s="53" t="s">
        <v>51</v>
      </c>
      <c r="D177" s="54" t="s">
        <v>172</v>
      </c>
      <c r="E177" s="55" t="s">
        <v>173</v>
      </c>
      <c r="F177" s="56" t="s">
        <v>171</v>
      </c>
      <c r="G177" s="57">
        <v>1</v>
      </c>
      <c r="H177" s="53" t="s">
        <v>134</v>
      </c>
      <c r="I177" s="97" t="s">
        <v>135</v>
      </c>
      <c r="J177" s="59">
        <v>3</v>
      </c>
      <c r="K177" s="60">
        <v>8534150</v>
      </c>
      <c r="L177" s="61">
        <v>0</v>
      </c>
      <c r="M177" s="61">
        <v>0</v>
      </c>
      <c r="N177" s="60">
        <f>K177+L177-M177</f>
        <v>8534150</v>
      </c>
      <c r="O177" s="61">
        <v>0</v>
      </c>
      <c r="P177" s="61">
        <v>0</v>
      </c>
      <c r="Q177" s="61">
        <f>-66884.13-66884.13-133624.54-66884.13-66884.13</f>
        <v>-401161.06000000006</v>
      </c>
      <c r="R177" s="60">
        <f>N177-O177+P177+Q177</f>
        <v>8132988.9399999995</v>
      </c>
      <c r="S177" s="61">
        <f>81910.17+599255.76+638211.06+667361.34+426554.27</f>
        <v>2413292.6</v>
      </c>
      <c r="T177" s="62">
        <f>S177/R177</f>
        <v>0.29672886780047686</v>
      </c>
      <c r="U177" s="61">
        <f>66158.64+518512.19+706948.81+35332.54+644578.12</f>
        <v>1971530.3000000003</v>
      </c>
      <c r="V177" s="62">
        <f>U177/R177</f>
        <v>0.24241153093219384</v>
      </c>
      <c r="W177" s="61">
        <f>25246.89+240896.34+992011.41+68797.54+644577.52</f>
        <v>1971529.7000000002</v>
      </c>
      <c r="X177" s="63">
        <f>W177/R177</f>
        <v>0.2424114571585782</v>
      </c>
      <c r="Y177" s="42"/>
    </row>
    <row r="178" spans="1:25" s="64" customFormat="1" ht="39" customHeight="1" x14ac:dyDescent="0.2">
      <c r="A178" s="91" t="s">
        <v>130</v>
      </c>
      <c r="B178" s="52" t="s">
        <v>131</v>
      </c>
      <c r="C178" s="53" t="s">
        <v>51</v>
      </c>
      <c r="D178" s="54" t="s">
        <v>172</v>
      </c>
      <c r="E178" s="55" t="s">
        <v>173</v>
      </c>
      <c r="F178" s="56" t="s">
        <v>171</v>
      </c>
      <c r="G178" s="57">
        <v>1</v>
      </c>
      <c r="H178" s="99" t="s">
        <v>142</v>
      </c>
      <c r="I178" s="101" t="s">
        <v>143</v>
      </c>
      <c r="J178" s="59">
        <v>3</v>
      </c>
      <c r="K178" s="60">
        <v>0</v>
      </c>
      <c r="L178" s="61">
        <f>513100.84</f>
        <v>513100.84</v>
      </c>
      <c r="M178" s="61">
        <v>0</v>
      </c>
      <c r="N178" s="60">
        <f t="shared" ref="N178:N179" si="102">K178+L178-M178</f>
        <v>513100.84</v>
      </c>
      <c r="O178" s="61">
        <v>0</v>
      </c>
      <c r="P178" s="61">
        <v>0</v>
      </c>
      <c r="Q178" s="61">
        <v>0</v>
      </c>
      <c r="R178" s="60">
        <f t="shared" ref="R178:R179" si="103">N178-O178+P178+Q178</f>
        <v>513100.84</v>
      </c>
      <c r="S178" s="61">
        <v>0</v>
      </c>
      <c r="T178" s="62">
        <f t="shared" ref="T178:T179" si="104">S178/R178</f>
        <v>0</v>
      </c>
      <c r="U178" s="61">
        <v>0</v>
      </c>
      <c r="V178" s="62">
        <f t="shared" ref="V178:V179" si="105">U178/R178</f>
        <v>0</v>
      </c>
      <c r="W178" s="61">
        <v>0</v>
      </c>
      <c r="X178" s="63">
        <f t="shared" ref="X178:X179" si="106">W178/R178</f>
        <v>0</v>
      </c>
      <c r="Y178" s="42"/>
    </row>
    <row r="179" spans="1:25" s="64" customFormat="1" ht="39" customHeight="1" x14ac:dyDescent="0.2">
      <c r="A179" s="91" t="s">
        <v>130</v>
      </c>
      <c r="B179" s="52" t="s">
        <v>131</v>
      </c>
      <c r="C179" s="53" t="s">
        <v>51</v>
      </c>
      <c r="D179" s="54" t="s">
        <v>172</v>
      </c>
      <c r="E179" s="55" t="s">
        <v>173</v>
      </c>
      <c r="F179" s="56" t="s">
        <v>171</v>
      </c>
      <c r="G179" s="57">
        <v>1</v>
      </c>
      <c r="H179" s="99" t="s">
        <v>142</v>
      </c>
      <c r="I179" s="101" t="s">
        <v>143</v>
      </c>
      <c r="J179" s="59">
        <v>4</v>
      </c>
      <c r="K179" s="60">
        <v>0</v>
      </c>
      <c r="L179" s="61">
        <f>103004.72+180000</f>
        <v>283004.71999999997</v>
      </c>
      <c r="M179" s="61">
        <v>0</v>
      </c>
      <c r="N179" s="60">
        <f t="shared" si="102"/>
        <v>283004.71999999997</v>
      </c>
      <c r="O179" s="61">
        <v>0</v>
      </c>
      <c r="P179" s="61">
        <v>0</v>
      </c>
      <c r="Q179" s="61">
        <v>0</v>
      </c>
      <c r="R179" s="60">
        <f t="shared" si="103"/>
        <v>283004.71999999997</v>
      </c>
      <c r="S179" s="61">
        <v>0</v>
      </c>
      <c r="T179" s="62">
        <f t="shared" si="104"/>
        <v>0</v>
      </c>
      <c r="U179" s="61">
        <v>0</v>
      </c>
      <c r="V179" s="62">
        <f t="shared" si="105"/>
        <v>0</v>
      </c>
      <c r="W179" s="61">
        <v>0</v>
      </c>
      <c r="X179" s="63">
        <f t="shared" si="106"/>
        <v>0</v>
      </c>
      <c r="Y179" s="42"/>
    </row>
    <row r="180" spans="1:25" s="42" customFormat="1" ht="9" customHeight="1" x14ac:dyDescent="0.2">
      <c r="A180" s="65"/>
      <c r="B180" s="66"/>
      <c r="C180" s="67"/>
      <c r="D180" s="68"/>
      <c r="E180" s="69"/>
      <c r="F180" s="70"/>
      <c r="G180" s="71"/>
      <c r="H180" s="67"/>
      <c r="I180" s="72"/>
      <c r="J180" s="73"/>
      <c r="K180" s="74"/>
      <c r="L180" s="75"/>
      <c r="M180" s="75"/>
      <c r="N180" s="74"/>
      <c r="O180" s="75"/>
      <c r="P180" s="75"/>
      <c r="Q180" s="75"/>
      <c r="R180" s="74"/>
      <c r="S180" s="75"/>
      <c r="T180" s="76"/>
      <c r="U180" s="75"/>
      <c r="V180" s="76"/>
      <c r="W180" s="75"/>
      <c r="X180" s="77"/>
    </row>
    <row r="181" spans="1:25" s="50" customFormat="1" ht="39" customHeight="1" x14ac:dyDescent="0.2">
      <c r="A181" s="98" t="s">
        <v>130</v>
      </c>
      <c r="B181" s="161" t="s">
        <v>131</v>
      </c>
      <c r="C181" s="162"/>
      <c r="D181" s="79" t="s">
        <v>174</v>
      </c>
      <c r="E181" s="80" t="s">
        <v>49</v>
      </c>
      <c r="F181" s="161" t="s">
        <v>175</v>
      </c>
      <c r="G181" s="163"/>
      <c r="H181" s="163"/>
      <c r="I181" s="163"/>
      <c r="J181" s="162"/>
      <c r="K181" s="81">
        <f>SUM(K182:K183)</f>
        <v>195975</v>
      </c>
      <c r="L181" s="81">
        <f t="shared" ref="L181:S181" si="107">SUM(L182:L183)</f>
        <v>0</v>
      </c>
      <c r="M181" s="81">
        <f t="shared" si="107"/>
        <v>0</v>
      </c>
      <c r="N181" s="81">
        <f t="shared" si="107"/>
        <v>195975</v>
      </c>
      <c r="O181" s="81">
        <f t="shared" si="107"/>
        <v>0</v>
      </c>
      <c r="P181" s="81">
        <f t="shared" si="107"/>
        <v>0</v>
      </c>
      <c r="Q181" s="81">
        <f t="shared" si="107"/>
        <v>0</v>
      </c>
      <c r="R181" s="81">
        <f t="shared" si="107"/>
        <v>195975</v>
      </c>
      <c r="S181" s="81">
        <f t="shared" si="107"/>
        <v>5439.71</v>
      </c>
      <c r="T181" s="82">
        <f>S181/R181</f>
        <v>2.7757162903431561E-2</v>
      </c>
      <c r="U181" s="81">
        <f>SUM(U182:U183)</f>
        <v>5208.5</v>
      </c>
      <c r="V181" s="82">
        <f>U181/R181</f>
        <v>2.6577369562444188E-2</v>
      </c>
      <c r="W181" s="81">
        <f>SUM(W182:W183)</f>
        <v>5208.5</v>
      </c>
      <c r="X181" s="83">
        <f>W181/R181</f>
        <v>2.6577369562444188E-2</v>
      </c>
      <c r="Y181" s="49"/>
    </row>
    <row r="182" spans="1:25" s="64" customFormat="1" ht="39" customHeight="1" x14ac:dyDescent="0.2">
      <c r="A182" s="91" t="s">
        <v>130</v>
      </c>
      <c r="B182" s="52" t="s">
        <v>131</v>
      </c>
      <c r="C182" s="53" t="s">
        <v>51</v>
      </c>
      <c r="D182" s="54" t="s">
        <v>174</v>
      </c>
      <c r="E182" s="55" t="s">
        <v>49</v>
      </c>
      <c r="F182" s="56" t="s">
        <v>176</v>
      </c>
      <c r="G182" s="57">
        <v>1</v>
      </c>
      <c r="H182" s="53" t="s">
        <v>52</v>
      </c>
      <c r="I182" s="58" t="s">
        <v>53</v>
      </c>
      <c r="J182" s="59">
        <v>4</v>
      </c>
      <c r="K182" s="60">
        <v>80000</v>
      </c>
      <c r="L182" s="61">
        <v>0</v>
      </c>
      <c r="M182" s="61">
        <v>0</v>
      </c>
      <c r="N182" s="60">
        <f>K182+L182-M182</f>
        <v>80000</v>
      </c>
      <c r="O182" s="61">
        <v>0</v>
      </c>
      <c r="P182" s="61">
        <v>0</v>
      </c>
      <c r="Q182" s="61">
        <v>0</v>
      </c>
      <c r="R182" s="60">
        <f>N182-O182+P182+Q182</f>
        <v>80000</v>
      </c>
      <c r="S182" s="61">
        <f>979.2</f>
        <v>979.2</v>
      </c>
      <c r="T182" s="62">
        <f>S182/R182</f>
        <v>1.2240000000000001E-2</v>
      </c>
      <c r="U182" s="61">
        <f>979.2</f>
        <v>979.2</v>
      </c>
      <c r="V182" s="62">
        <f>U182/R182</f>
        <v>1.2240000000000001E-2</v>
      </c>
      <c r="W182" s="61">
        <f>979.2</f>
        <v>979.2</v>
      </c>
      <c r="X182" s="63">
        <f>W182/R182</f>
        <v>1.2240000000000001E-2</v>
      </c>
      <c r="Y182" s="42"/>
    </row>
    <row r="183" spans="1:25" s="64" customFormat="1" ht="39" customHeight="1" x14ac:dyDescent="0.2">
      <c r="A183" s="91" t="s">
        <v>130</v>
      </c>
      <c r="B183" s="52" t="s">
        <v>131</v>
      </c>
      <c r="C183" s="53" t="s">
        <v>51</v>
      </c>
      <c r="D183" s="54" t="s">
        <v>174</v>
      </c>
      <c r="E183" s="55" t="s">
        <v>49</v>
      </c>
      <c r="F183" s="56" t="s">
        <v>177</v>
      </c>
      <c r="G183" s="57">
        <v>1</v>
      </c>
      <c r="H183" s="53" t="s">
        <v>134</v>
      </c>
      <c r="I183" s="97" t="s">
        <v>135</v>
      </c>
      <c r="J183" s="59">
        <v>3</v>
      </c>
      <c r="K183" s="60">
        <v>115975</v>
      </c>
      <c r="L183" s="61">
        <v>0</v>
      </c>
      <c r="M183" s="61">
        <v>0</v>
      </c>
      <c r="N183" s="60">
        <f>K183+L183-M183</f>
        <v>115975</v>
      </c>
      <c r="O183" s="61">
        <v>0</v>
      </c>
      <c r="P183" s="61">
        <v>0</v>
      </c>
      <c r="Q183" s="61">
        <v>0</v>
      </c>
      <c r="R183" s="60">
        <f>N183-O183+P183+Q183</f>
        <v>115975</v>
      </c>
      <c r="S183" s="61">
        <f>2922.51+1538</f>
        <v>4460.51</v>
      </c>
      <c r="T183" s="62">
        <f>S183/R183</f>
        <v>3.8460961414097869E-2</v>
      </c>
      <c r="U183" s="61">
        <f>1538+2691.3</f>
        <v>4229.3</v>
      </c>
      <c r="V183" s="62">
        <f>U183/R183</f>
        <v>3.6467342099590433E-2</v>
      </c>
      <c r="W183" s="61">
        <f>4229.3</f>
        <v>4229.3</v>
      </c>
      <c r="X183" s="63">
        <f>W183/R183</f>
        <v>3.6467342099590433E-2</v>
      </c>
      <c r="Y183" s="42"/>
    </row>
    <row r="184" spans="1:25" s="42" customFormat="1" ht="9" customHeight="1" x14ac:dyDescent="0.2">
      <c r="A184" s="65"/>
      <c r="B184" s="66"/>
      <c r="C184" s="67"/>
      <c r="D184" s="68"/>
      <c r="E184" s="69"/>
      <c r="F184" s="70"/>
      <c r="G184" s="71"/>
      <c r="H184" s="67"/>
      <c r="I184" s="72"/>
      <c r="J184" s="73"/>
      <c r="K184" s="74"/>
      <c r="L184" s="75"/>
      <c r="M184" s="75"/>
      <c r="N184" s="74"/>
      <c r="O184" s="75"/>
      <c r="P184" s="75"/>
      <c r="Q184" s="75"/>
      <c r="R184" s="74"/>
      <c r="S184" s="75"/>
      <c r="T184" s="76"/>
      <c r="U184" s="75"/>
      <c r="V184" s="76"/>
      <c r="W184" s="75"/>
      <c r="X184" s="77"/>
    </row>
    <row r="185" spans="1:25" s="50" customFormat="1" ht="39" customHeight="1" x14ac:dyDescent="0.2">
      <c r="A185" s="98" t="s">
        <v>130</v>
      </c>
      <c r="B185" s="161" t="s">
        <v>131</v>
      </c>
      <c r="C185" s="162"/>
      <c r="D185" s="79" t="s">
        <v>178</v>
      </c>
      <c r="E185" s="80" t="s">
        <v>49</v>
      </c>
      <c r="F185" s="161" t="s">
        <v>64</v>
      </c>
      <c r="G185" s="163"/>
      <c r="H185" s="163"/>
      <c r="I185" s="163"/>
      <c r="J185" s="162"/>
      <c r="K185" s="81">
        <f>SUM(K186:K189)</f>
        <v>1352265</v>
      </c>
      <c r="L185" s="81">
        <f t="shared" ref="L185:S185" si="108">SUM(L186:L189)</f>
        <v>139418.85</v>
      </c>
      <c r="M185" s="81">
        <f t="shared" si="108"/>
        <v>0</v>
      </c>
      <c r="N185" s="81">
        <f t="shared" si="108"/>
        <v>1491683.8499999999</v>
      </c>
      <c r="O185" s="81">
        <f t="shared" si="108"/>
        <v>0</v>
      </c>
      <c r="P185" s="81">
        <f t="shared" si="108"/>
        <v>0</v>
      </c>
      <c r="Q185" s="81">
        <f t="shared" si="108"/>
        <v>-230528.74000000005</v>
      </c>
      <c r="R185" s="81">
        <f t="shared" si="108"/>
        <v>1261155.1099999999</v>
      </c>
      <c r="S185" s="81">
        <f t="shared" si="108"/>
        <v>16265.740000000002</v>
      </c>
      <c r="T185" s="82">
        <f>S185/R185</f>
        <v>1.2897493631849935E-2</v>
      </c>
      <c r="U185" s="81">
        <f>SUM(U186:U189)</f>
        <v>11781.710000000001</v>
      </c>
      <c r="V185" s="82">
        <f>U185/R185</f>
        <v>9.3419991772463271E-3</v>
      </c>
      <c r="W185" s="81">
        <f>SUM(W186:W189)</f>
        <v>11781.710000000001</v>
      </c>
      <c r="X185" s="83">
        <f>W185/R185</f>
        <v>9.3419991772463271E-3</v>
      </c>
      <c r="Y185" s="49"/>
    </row>
    <row r="186" spans="1:25" s="64" customFormat="1" ht="39" customHeight="1" x14ac:dyDescent="0.2">
      <c r="A186" s="91" t="s">
        <v>130</v>
      </c>
      <c r="B186" s="52" t="s">
        <v>131</v>
      </c>
      <c r="C186" s="53" t="s">
        <v>51</v>
      </c>
      <c r="D186" s="54" t="s">
        <v>178</v>
      </c>
      <c r="E186" s="55" t="s">
        <v>49</v>
      </c>
      <c r="F186" s="56" t="s">
        <v>179</v>
      </c>
      <c r="G186" s="57">
        <v>1</v>
      </c>
      <c r="H186" s="53" t="s">
        <v>52</v>
      </c>
      <c r="I186" s="58" t="s">
        <v>53</v>
      </c>
      <c r="J186" s="59">
        <v>4</v>
      </c>
      <c r="K186" s="60">
        <v>25000</v>
      </c>
      <c r="L186" s="61">
        <v>0</v>
      </c>
      <c r="M186" s="61">
        <v>0</v>
      </c>
      <c r="N186" s="60">
        <f>K186+L186-M186</f>
        <v>25000</v>
      </c>
      <c r="O186" s="61">
        <v>0</v>
      </c>
      <c r="P186" s="61">
        <v>0</v>
      </c>
      <c r="Q186" s="61">
        <v>0</v>
      </c>
      <c r="R186" s="60">
        <f>N186-O186+P186+Q186</f>
        <v>25000</v>
      </c>
      <c r="S186" s="61">
        <v>0</v>
      </c>
      <c r="T186" s="62">
        <f>S186/R186</f>
        <v>0</v>
      </c>
      <c r="U186" s="61">
        <v>0</v>
      </c>
      <c r="V186" s="62">
        <f>U186/R186</f>
        <v>0</v>
      </c>
      <c r="W186" s="61">
        <v>0</v>
      </c>
      <c r="X186" s="63">
        <f>W186/R186</f>
        <v>0</v>
      </c>
      <c r="Y186" s="42"/>
    </row>
    <row r="187" spans="1:25" s="64" customFormat="1" ht="39" customHeight="1" x14ac:dyDescent="0.2">
      <c r="A187" s="91" t="s">
        <v>130</v>
      </c>
      <c r="B187" s="52" t="s">
        <v>131</v>
      </c>
      <c r="C187" s="53" t="s">
        <v>51</v>
      </c>
      <c r="D187" s="54" t="s">
        <v>178</v>
      </c>
      <c r="E187" s="55" t="s">
        <v>49</v>
      </c>
      <c r="F187" s="56" t="s">
        <v>179</v>
      </c>
      <c r="G187" s="57">
        <v>1</v>
      </c>
      <c r="H187" s="53" t="s">
        <v>134</v>
      </c>
      <c r="I187" s="97" t="s">
        <v>135</v>
      </c>
      <c r="J187" s="59">
        <v>3</v>
      </c>
      <c r="K187" s="60">
        <v>1327265</v>
      </c>
      <c r="L187" s="61">
        <v>0</v>
      </c>
      <c r="M187" s="61">
        <v>0</v>
      </c>
      <c r="N187" s="60">
        <f>K187+L187-M187</f>
        <v>1327265</v>
      </c>
      <c r="O187" s="61">
        <v>0</v>
      </c>
      <c r="P187" s="61">
        <v>0</v>
      </c>
      <c r="Q187" s="61">
        <f>-38623.23-38623.23-76035.82-38623.23-38623.23</f>
        <v>-230528.74000000005</v>
      </c>
      <c r="R187" s="60">
        <f>N187-O187+P187+Q187</f>
        <v>1096736.26</v>
      </c>
      <c r="S187" s="61">
        <f>650+2100+12900.54+615.2</f>
        <v>16265.740000000002</v>
      </c>
      <c r="T187" s="62">
        <f>S187/R187</f>
        <v>1.4831040600408343E-2</v>
      </c>
      <c r="U187" s="61">
        <f>650+2100+6660.11+615.2+1756.4</f>
        <v>11781.710000000001</v>
      </c>
      <c r="V187" s="62">
        <f>U187/R187</f>
        <v>1.0742518898755113E-2</v>
      </c>
      <c r="W187" s="61">
        <f>2750+6660.11+2371.6</f>
        <v>11781.710000000001</v>
      </c>
      <c r="X187" s="63">
        <f>W187/R187</f>
        <v>1.0742518898755113E-2</v>
      </c>
      <c r="Y187" s="42"/>
    </row>
    <row r="188" spans="1:25" s="64" customFormat="1" ht="39" customHeight="1" x14ac:dyDescent="0.2">
      <c r="A188" s="91" t="s">
        <v>130</v>
      </c>
      <c r="B188" s="52" t="s">
        <v>131</v>
      </c>
      <c r="C188" s="53" t="s">
        <v>51</v>
      </c>
      <c r="D188" s="54" t="s">
        <v>178</v>
      </c>
      <c r="E188" s="55" t="s">
        <v>49</v>
      </c>
      <c r="F188" s="56" t="s">
        <v>179</v>
      </c>
      <c r="G188" s="57">
        <v>1</v>
      </c>
      <c r="H188" s="99" t="s">
        <v>142</v>
      </c>
      <c r="I188" s="101" t="s">
        <v>143</v>
      </c>
      <c r="J188" s="59">
        <v>3</v>
      </c>
      <c r="K188" s="60">
        <v>0</v>
      </c>
      <c r="L188" s="61">
        <f>138574.91</f>
        <v>138574.91</v>
      </c>
      <c r="M188" s="61">
        <v>0</v>
      </c>
      <c r="N188" s="60">
        <f t="shared" ref="N188:N189" si="109">K188+L188-M188</f>
        <v>138574.91</v>
      </c>
      <c r="O188" s="61">
        <v>0</v>
      </c>
      <c r="P188" s="61">
        <v>0</v>
      </c>
      <c r="Q188" s="61">
        <v>0</v>
      </c>
      <c r="R188" s="60">
        <f t="shared" ref="R188:R189" si="110">N188-O188+P188+Q188</f>
        <v>138574.91</v>
      </c>
      <c r="S188" s="61">
        <v>0</v>
      </c>
      <c r="T188" s="62">
        <f t="shared" ref="T188:T189" si="111">S188/R188</f>
        <v>0</v>
      </c>
      <c r="U188" s="61">
        <v>0</v>
      </c>
      <c r="V188" s="62">
        <f t="shared" ref="V188:V189" si="112">U188/R188</f>
        <v>0</v>
      </c>
      <c r="W188" s="61">
        <v>0</v>
      </c>
      <c r="X188" s="63">
        <f t="shared" ref="X188:X189" si="113">W188/R188</f>
        <v>0</v>
      </c>
      <c r="Y188" s="42"/>
    </row>
    <row r="189" spans="1:25" s="64" customFormat="1" ht="39" customHeight="1" x14ac:dyDescent="0.2">
      <c r="A189" s="91" t="s">
        <v>130</v>
      </c>
      <c r="B189" s="52" t="s">
        <v>131</v>
      </c>
      <c r="C189" s="53" t="s">
        <v>51</v>
      </c>
      <c r="D189" s="54" t="s">
        <v>178</v>
      </c>
      <c r="E189" s="55" t="s">
        <v>49</v>
      </c>
      <c r="F189" s="56" t="s">
        <v>179</v>
      </c>
      <c r="G189" s="57">
        <v>1</v>
      </c>
      <c r="H189" s="99" t="s">
        <v>142</v>
      </c>
      <c r="I189" s="101" t="s">
        <v>143</v>
      </c>
      <c r="J189" s="59">
        <v>4</v>
      </c>
      <c r="K189" s="60">
        <v>0</v>
      </c>
      <c r="L189" s="61">
        <f>843.94</f>
        <v>843.94</v>
      </c>
      <c r="M189" s="61">
        <v>0</v>
      </c>
      <c r="N189" s="60">
        <f t="shared" si="109"/>
        <v>843.94</v>
      </c>
      <c r="O189" s="61">
        <v>0</v>
      </c>
      <c r="P189" s="61">
        <v>0</v>
      </c>
      <c r="Q189" s="61">
        <v>0</v>
      </c>
      <c r="R189" s="60">
        <f t="shared" si="110"/>
        <v>843.94</v>
      </c>
      <c r="S189" s="61">
        <v>0</v>
      </c>
      <c r="T189" s="62">
        <f t="shared" si="111"/>
        <v>0</v>
      </c>
      <c r="U189" s="61">
        <v>0</v>
      </c>
      <c r="V189" s="62">
        <f t="shared" si="112"/>
        <v>0</v>
      </c>
      <c r="W189" s="61">
        <v>0</v>
      </c>
      <c r="X189" s="63">
        <f t="shared" si="113"/>
        <v>0</v>
      </c>
      <c r="Y189" s="42"/>
    </row>
    <row r="190" spans="1:25" s="42" customFormat="1" ht="9" customHeight="1" x14ac:dyDescent="0.2">
      <c r="A190" s="102"/>
      <c r="B190" s="66"/>
      <c r="C190" s="67"/>
      <c r="D190" s="68"/>
      <c r="E190" s="69"/>
      <c r="F190" s="70"/>
      <c r="G190" s="71"/>
      <c r="H190" s="67"/>
      <c r="I190" s="72"/>
      <c r="J190" s="73"/>
      <c r="K190" s="75"/>
      <c r="L190" s="75"/>
      <c r="M190" s="75"/>
      <c r="N190" s="75"/>
      <c r="O190" s="75"/>
      <c r="P190" s="75"/>
      <c r="Q190" s="75"/>
      <c r="R190" s="75"/>
      <c r="S190" s="75"/>
      <c r="T190" s="76"/>
      <c r="U190" s="75"/>
      <c r="V190" s="76"/>
      <c r="W190" s="75"/>
      <c r="X190" s="77"/>
    </row>
    <row r="191" spans="1:25" s="50" customFormat="1" ht="39" customHeight="1" x14ac:dyDescent="0.2">
      <c r="A191" s="98" t="s">
        <v>130</v>
      </c>
      <c r="B191" s="161" t="s">
        <v>131</v>
      </c>
      <c r="C191" s="162"/>
      <c r="D191" s="79" t="s">
        <v>180</v>
      </c>
      <c r="E191" s="80" t="s">
        <v>49</v>
      </c>
      <c r="F191" s="161" t="s">
        <v>181</v>
      </c>
      <c r="G191" s="163"/>
      <c r="H191" s="163"/>
      <c r="I191" s="163"/>
      <c r="J191" s="162"/>
      <c r="K191" s="81">
        <f>SUM(K192:K194)</f>
        <v>700000</v>
      </c>
      <c r="L191" s="81">
        <f t="shared" ref="L191:S191" si="114">SUM(L192:L194)</f>
        <v>294103</v>
      </c>
      <c r="M191" s="81">
        <f t="shared" si="114"/>
        <v>0</v>
      </c>
      <c r="N191" s="81">
        <f t="shared" si="114"/>
        <v>994103</v>
      </c>
      <c r="O191" s="81">
        <f t="shared" si="114"/>
        <v>684945.2</v>
      </c>
      <c r="P191" s="81">
        <f t="shared" si="114"/>
        <v>0</v>
      </c>
      <c r="Q191" s="81">
        <f t="shared" si="114"/>
        <v>0</v>
      </c>
      <c r="R191" s="81">
        <f t="shared" si="114"/>
        <v>309157.8</v>
      </c>
      <c r="S191" s="81">
        <f t="shared" si="114"/>
        <v>249324.43</v>
      </c>
      <c r="T191" s="82">
        <f t="shared" ref="T191:T192" si="115">S191/R191</f>
        <v>0.80646333361150846</v>
      </c>
      <c r="U191" s="81">
        <f>SUM(U192:U194)</f>
        <v>103438.46</v>
      </c>
      <c r="V191" s="82">
        <f>U191/R191</f>
        <v>0.33458143381794025</v>
      </c>
      <c r="W191" s="81">
        <f>SUM(W192:W194)</f>
        <v>103438.46</v>
      </c>
      <c r="X191" s="83">
        <f>W191/R191</f>
        <v>0.33458143381794025</v>
      </c>
      <c r="Y191" s="49"/>
    </row>
    <row r="192" spans="1:25" s="64" customFormat="1" ht="39" customHeight="1" x14ac:dyDescent="0.2">
      <c r="A192" s="91" t="s">
        <v>130</v>
      </c>
      <c r="B192" s="52" t="s">
        <v>131</v>
      </c>
      <c r="C192" s="53" t="s">
        <v>51</v>
      </c>
      <c r="D192" s="54" t="s">
        <v>180</v>
      </c>
      <c r="E192" s="55" t="s">
        <v>49</v>
      </c>
      <c r="F192" s="56" t="s">
        <v>181</v>
      </c>
      <c r="G192" s="57">
        <v>1</v>
      </c>
      <c r="H192" s="53" t="s">
        <v>52</v>
      </c>
      <c r="I192" s="58" t="s">
        <v>53</v>
      </c>
      <c r="J192" s="59">
        <v>4</v>
      </c>
      <c r="K192" s="60">
        <v>300000</v>
      </c>
      <c r="L192" s="61">
        <v>0</v>
      </c>
      <c r="M192" s="61">
        <v>0</v>
      </c>
      <c r="N192" s="60">
        <f t="shared" ref="N192:N204" si="116">K192+L192-M192</f>
        <v>300000</v>
      </c>
      <c r="O192" s="61">
        <f>284945.2</f>
        <v>284945.2</v>
      </c>
      <c r="P192" s="61">
        <v>0</v>
      </c>
      <c r="Q192" s="61">
        <v>0</v>
      </c>
      <c r="R192" s="60">
        <f t="shared" ref="R192:R204" si="117">N192-O192+P192+Q192</f>
        <v>15054.799999999988</v>
      </c>
      <c r="S192" s="61">
        <f>15054.8</f>
        <v>15054.8</v>
      </c>
      <c r="T192" s="62">
        <f t="shared" si="115"/>
        <v>1.0000000000000007</v>
      </c>
      <c r="U192" s="61">
        <f>14704.8</f>
        <v>14704.8</v>
      </c>
      <c r="V192" s="62">
        <f>U192/R192</f>
        <v>0.97675160081834433</v>
      </c>
      <c r="W192" s="61">
        <f>14704.8</f>
        <v>14704.8</v>
      </c>
      <c r="X192" s="63">
        <f>W192/R192</f>
        <v>0.97675160081834433</v>
      </c>
      <c r="Y192" s="42"/>
    </row>
    <row r="193" spans="1:25" s="64" customFormat="1" ht="39" customHeight="1" x14ac:dyDescent="0.2">
      <c r="A193" s="91" t="s">
        <v>130</v>
      </c>
      <c r="B193" s="52" t="s">
        <v>131</v>
      </c>
      <c r="C193" s="53" t="s">
        <v>51</v>
      </c>
      <c r="D193" s="54" t="s">
        <v>180</v>
      </c>
      <c r="E193" s="55" t="s">
        <v>49</v>
      </c>
      <c r="F193" s="56" t="s">
        <v>181</v>
      </c>
      <c r="G193" s="57">
        <v>1</v>
      </c>
      <c r="H193" s="105" t="s">
        <v>182</v>
      </c>
      <c r="I193" s="101" t="s">
        <v>183</v>
      </c>
      <c r="J193" s="59">
        <v>4</v>
      </c>
      <c r="K193" s="60">
        <v>400000</v>
      </c>
      <c r="L193" s="61">
        <v>0</v>
      </c>
      <c r="M193" s="61">
        <v>0</v>
      </c>
      <c r="N193" s="60">
        <f t="shared" si="116"/>
        <v>400000</v>
      </c>
      <c r="O193" s="61">
        <f>400000</f>
        <v>400000</v>
      </c>
      <c r="P193" s="61">
        <v>0</v>
      </c>
      <c r="Q193" s="61">
        <v>0</v>
      </c>
      <c r="R193" s="60">
        <f t="shared" si="117"/>
        <v>0</v>
      </c>
      <c r="S193" s="61">
        <v>0</v>
      </c>
      <c r="T193" s="62">
        <v>0</v>
      </c>
      <c r="U193" s="61">
        <v>0</v>
      </c>
      <c r="V193" s="62">
        <v>0</v>
      </c>
      <c r="W193" s="61">
        <v>0</v>
      </c>
      <c r="X193" s="63">
        <v>0</v>
      </c>
      <c r="Y193" s="42"/>
    </row>
    <row r="194" spans="1:25" s="64" customFormat="1" ht="39" customHeight="1" x14ac:dyDescent="0.2">
      <c r="A194" s="91" t="s">
        <v>130</v>
      </c>
      <c r="B194" s="52" t="s">
        <v>131</v>
      </c>
      <c r="C194" s="53" t="s">
        <v>51</v>
      </c>
      <c r="D194" s="54" t="s">
        <v>180</v>
      </c>
      <c r="E194" s="55" t="s">
        <v>49</v>
      </c>
      <c r="F194" s="56" t="s">
        <v>181</v>
      </c>
      <c r="G194" s="57">
        <v>1</v>
      </c>
      <c r="H194" s="105" t="s">
        <v>184</v>
      </c>
      <c r="I194" s="101" t="s">
        <v>185</v>
      </c>
      <c r="J194" s="59">
        <v>4</v>
      </c>
      <c r="K194" s="60">
        <v>0</v>
      </c>
      <c r="L194" s="61">
        <f>294103</f>
        <v>294103</v>
      </c>
      <c r="M194" s="61">
        <v>0</v>
      </c>
      <c r="N194" s="60">
        <f t="shared" si="116"/>
        <v>294103</v>
      </c>
      <c r="O194" s="61">
        <v>0</v>
      </c>
      <c r="P194" s="61">
        <v>0</v>
      </c>
      <c r="Q194" s="61">
        <v>0</v>
      </c>
      <c r="R194" s="60">
        <f t="shared" si="117"/>
        <v>294103</v>
      </c>
      <c r="S194" s="61">
        <f>183917.33+50352.3</f>
        <v>234269.63</v>
      </c>
      <c r="T194" s="62">
        <f t="shared" ref="T194" si="118">S194/R194</f>
        <v>0.79655641050924342</v>
      </c>
      <c r="U194" s="61">
        <f>49288.6+39445.06</f>
        <v>88733.66</v>
      </c>
      <c r="V194" s="62">
        <f>U194/R194</f>
        <v>0.30170946913156277</v>
      </c>
      <c r="W194" s="61">
        <f>49288.6+39445.06</f>
        <v>88733.66</v>
      </c>
      <c r="X194" s="63">
        <f>W194/R194</f>
        <v>0.30170946913156277</v>
      </c>
      <c r="Y194" s="42"/>
    </row>
    <row r="195" spans="1:25" s="42" customFormat="1" ht="9" customHeight="1" x14ac:dyDescent="0.2">
      <c r="A195" s="65"/>
      <c r="B195" s="66"/>
      <c r="C195" s="67"/>
      <c r="D195" s="68"/>
      <c r="E195" s="69"/>
      <c r="F195" s="70"/>
      <c r="G195" s="71"/>
      <c r="H195" s="67"/>
      <c r="I195" s="72"/>
      <c r="J195" s="73"/>
      <c r="K195" s="74"/>
      <c r="L195" s="75"/>
      <c r="M195" s="75"/>
      <c r="N195" s="74"/>
      <c r="O195" s="75"/>
      <c r="P195" s="75"/>
      <c r="Q195" s="75"/>
      <c r="R195" s="74"/>
      <c r="S195" s="75"/>
      <c r="T195" s="76"/>
      <c r="U195" s="75"/>
      <c r="V195" s="76"/>
      <c r="W195" s="75"/>
      <c r="X195" s="77"/>
    </row>
    <row r="196" spans="1:25" s="50" customFormat="1" ht="39" customHeight="1" x14ac:dyDescent="0.2">
      <c r="A196" s="98" t="s">
        <v>130</v>
      </c>
      <c r="B196" s="161" t="s">
        <v>131</v>
      </c>
      <c r="C196" s="162"/>
      <c r="D196" s="79" t="s">
        <v>186</v>
      </c>
      <c r="E196" s="80" t="s">
        <v>49</v>
      </c>
      <c r="F196" s="161" t="s">
        <v>187</v>
      </c>
      <c r="G196" s="163"/>
      <c r="H196" s="163"/>
      <c r="I196" s="163"/>
      <c r="J196" s="162"/>
      <c r="K196" s="81">
        <f>SUM(K197:K199)</f>
        <v>50000</v>
      </c>
      <c r="L196" s="81">
        <f t="shared" ref="L196:S196" si="119">SUM(L197:L199)</f>
        <v>1250000</v>
      </c>
      <c r="M196" s="81">
        <f t="shared" si="119"/>
        <v>0</v>
      </c>
      <c r="N196" s="81">
        <f t="shared" si="119"/>
        <v>1300000</v>
      </c>
      <c r="O196" s="81">
        <f t="shared" si="119"/>
        <v>50000</v>
      </c>
      <c r="P196" s="81">
        <f t="shared" si="119"/>
        <v>0</v>
      </c>
      <c r="Q196" s="81">
        <f t="shared" si="119"/>
        <v>0</v>
      </c>
      <c r="R196" s="81">
        <f t="shared" si="119"/>
        <v>1250000</v>
      </c>
      <c r="S196" s="81">
        <f t="shared" si="119"/>
        <v>15168.2</v>
      </c>
      <c r="T196" s="82">
        <f t="shared" ref="T196" si="120">S196/R196</f>
        <v>1.2134560000000001E-2</v>
      </c>
      <c r="U196" s="81">
        <f>SUM(U197:U199)</f>
        <v>5981.63</v>
      </c>
      <c r="V196" s="82">
        <f>U196/R196</f>
        <v>4.7853039999999998E-3</v>
      </c>
      <c r="W196" s="81">
        <f>SUM(W197:W199)</f>
        <v>5981.63</v>
      </c>
      <c r="X196" s="83">
        <f>W196/R196</f>
        <v>4.7853039999999998E-3</v>
      </c>
      <c r="Y196" s="49"/>
    </row>
    <row r="197" spans="1:25" s="64" customFormat="1" ht="39" customHeight="1" x14ac:dyDescent="0.2">
      <c r="A197" s="91" t="s">
        <v>130</v>
      </c>
      <c r="B197" s="52" t="s">
        <v>131</v>
      </c>
      <c r="C197" s="53" t="s">
        <v>51</v>
      </c>
      <c r="D197" s="54" t="s">
        <v>186</v>
      </c>
      <c r="E197" s="55" t="s">
        <v>49</v>
      </c>
      <c r="F197" s="56" t="s">
        <v>187</v>
      </c>
      <c r="G197" s="57">
        <v>1</v>
      </c>
      <c r="H197" s="105" t="s">
        <v>182</v>
      </c>
      <c r="I197" s="101" t="s">
        <v>183</v>
      </c>
      <c r="J197" s="59">
        <v>4</v>
      </c>
      <c r="K197" s="60">
        <v>50000</v>
      </c>
      <c r="L197" s="61">
        <v>0</v>
      </c>
      <c r="M197" s="61">
        <v>0</v>
      </c>
      <c r="N197" s="60">
        <f t="shared" si="116"/>
        <v>50000</v>
      </c>
      <c r="O197" s="61">
        <f>50000</f>
        <v>50000</v>
      </c>
      <c r="P197" s="61">
        <v>0</v>
      </c>
      <c r="Q197" s="61">
        <v>0</v>
      </c>
      <c r="R197" s="60">
        <f t="shared" si="117"/>
        <v>0</v>
      </c>
      <c r="S197" s="61">
        <v>0</v>
      </c>
      <c r="T197" s="62">
        <v>0</v>
      </c>
      <c r="U197" s="61">
        <v>0</v>
      </c>
      <c r="V197" s="62">
        <v>0</v>
      </c>
      <c r="W197" s="61">
        <v>0</v>
      </c>
      <c r="X197" s="63">
        <v>0</v>
      </c>
      <c r="Y197" s="42"/>
    </row>
    <row r="198" spans="1:25" s="64" customFormat="1" ht="39" customHeight="1" x14ac:dyDescent="0.2">
      <c r="A198" s="91" t="s">
        <v>130</v>
      </c>
      <c r="B198" s="52" t="s">
        <v>131</v>
      </c>
      <c r="C198" s="53" t="s">
        <v>51</v>
      </c>
      <c r="D198" s="54" t="s">
        <v>186</v>
      </c>
      <c r="E198" s="55" t="s">
        <v>49</v>
      </c>
      <c r="F198" s="56" t="s">
        <v>187</v>
      </c>
      <c r="G198" s="57">
        <v>1</v>
      </c>
      <c r="H198" s="84" t="s">
        <v>61</v>
      </c>
      <c r="I198" s="85" t="s">
        <v>62</v>
      </c>
      <c r="J198" s="59">
        <v>4</v>
      </c>
      <c r="K198" s="60">
        <v>0</v>
      </c>
      <c r="L198" s="61">
        <f>1200000</f>
        <v>1200000</v>
      </c>
      <c r="M198" s="61">
        <v>0</v>
      </c>
      <c r="N198" s="60">
        <f t="shared" si="116"/>
        <v>1200000</v>
      </c>
      <c r="O198" s="61">
        <v>0</v>
      </c>
      <c r="P198" s="61">
        <v>0</v>
      </c>
      <c r="Q198" s="61">
        <v>0</v>
      </c>
      <c r="R198" s="60">
        <f t="shared" si="117"/>
        <v>1200000</v>
      </c>
      <c r="S198" s="61">
        <v>0</v>
      </c>
      <c r="T198" s="62">
        <f t="shared" ref="T198:T199" si="121">S198/R198</f>
        <v>0</v>
      </c>
      <c r="U198" s="61">
        <v>0</v>
      </c>
      <c r="V198" s="62">
        <f>U198/R198</f>
        <v>0</v>
      </c>
      <c r="W198" s="61">
        <v>0</v>
      </c>
      <c r="X198" s="63">
        <f>W198/R198</f>
        <v>0</v>
      </c>
      <c r="Y198" s="42"/>
    </row>
    <row r="199" spans="1:25" s="64" customFormat="1" ht="39" customHeight="1" x14ac:dyDescent="0.2">
      <c r="A199" s="91" t="s">
        <v>130</v>
      </c>
      <c r="B199" s="52" t="s">
        <v>131</v>
      </c>
      <c r="C199" s="53" t="s">
        <v>51</v>
      </c>
      <c r="D199" s="54" t="s">
        <v>186</v>
      </c>
      <c r="E199" s="55" t="s">
        <v>49</v>
      </c>
      <c r="F199" s="56" t="s">
        <v>187</v>
      </c>
      <c r="G199" s="57">
        <v>1</v>
      </c>
      <c r="H199" s="105" t="s">
        <v>184</v>
      </c>
      <c r="I199" s="101" t="s">
        <v>185</v>
      </c>
      <c r="J199" s="59">
        <v>4</v>
      </c>
      <c r="K199" s="60">
        <v>0</v>
      </c>
      <c r="L199" s="61">
        <f>50000</f>
        <v>50000</v>
      </c>
      <c r="M199" s="61">
        <v>0</v>
      </c>
      <c r="N199" s="60">
        <f t="shared" si="116"/>
        <v>50000</v>
      </c>
      <c r="O199" s="61">
        <v>0</v>
      </c>
      <c r="P199" s="61">
        <v>0</v>
      </c>
      <c r="Q199" s="61">
        <v>0</v>
      </c>
      <c r="R199" s="60">
        <f t="shared" si="117"/>
        <v>50000</v>
      </c>
      <c r="S199" s="61">
        <f>13214.32+1953.88</f>
        <v>15168.2</v>
      </c>
      <c r="T199" s="62">
        <f t="shared" si="121"/>
        <v>0.30336400000000002</v>
      </c>
      <c r="U199" s="61">
        <f>3625.98+2355.65</f>
        <v>5981.63</v>
      </c>
      <c r="V199" s="62">
        <f>U199/R199</f>
        <v>0.11963260000000001</v>
      </c>
      <c r="W199" s="61">
        <f>3625.98+2355.65</f>
        <v>5981.63</v>
      </c>
      <c r="X199" s="63">
        <f>W199/R199</f>
        <v>0.11963260000000001</v>
      </c>
      <c r="Y199" s="42"/>
    </row>
    <row r="200" spans="1:25" s="42" customFormat="1" ht="9" customHeight="1" x14ac:dyDescent="0.2">
      <c r="A200" s="65"/>
      <c r="B200" s="66"/>
      <c r="C200" s="67"/>
      <c r="D200" s="68"/>
      <c r="E200" s="69"/>
      <c r="F200" s="70"/>
      <c r="G200" s="71"/>
      <c r="H200" s="67"/>
      <c r="I200" s="72"/>
      <c r="J200" s="73"/>
      <c r="K200" s="74"/>
      <c r="L200" s="75"/>
      <c r="M200" s="75"/>
      <c r="N200" s="74"/>
      <c r="O200" s="75"/>
      <c r="P200" s="75"/>
      <c r="Q200" s="75"/>
      <c r="R200" s="74"/>
      <c r="S200" s="75"/>
      <c r="T200" s="76"/>
      <c r="U200" s="75"/>
      <c r="V200" s="76"/>
      <c r="W200" s="75"/>
      <c r="X200" s="77"/>
    </row>
    <row r="201" spans="1:25" s="50" customFormat="1" ht="39" customHeight="1" x14ac:dyDescent="0.2">
      <c r="A201" s="98" t="s">
        <v>130</v>
      </c>
      <c r="B201" s="161" t="s">
        <v>131</v>
      </c>
      <c r="C201" s="162"/>
      <c r="D201" s="79" t="s">
        <v>188</v>
      </c>
      <c r="E201" s="80" t="s">
        <v>49</v>
      </c>
      <c r="F201" s="161" t="s">
        <v>189</v>
      </c>
      <c r="G201" s="163"/>
      <c r="H201" s="163"/>
      <c r="I201" s="163"/>
      <c r="J201" s="162"/>
      <c r="K201" s="81">
        <f>SUM(K202:K204)</f>
        <v>200000</v>
      </c>
      <c r="L201" s="81">
        <f t="shared" ref="L201:S201" si="122">SUM(L202:L204)</f>
        <v>100000</v>
      </c>
      <c r="M201" s="81">
        <f t="shared" si="122"/>
        <v>0</v>
      </c>
      <c r="N201" s="81">
        <f t="shared" si="122"/>
        <v>300000</v>
      </c>
      <c r="O201" s="81">
        <f t="shared" si="122"/>
        <v>159689.64000000001</v>
      </c>
      <c r="P201" s="81">
        <f t="shared" si="122"/>
        <v>0</v>
      </c>
      <c r="Q201" s="81">
        <f t="shared" si="122"/>
        <v>0</v>
      </c>
      <c r="R201" s="81">
        <f t="shared" si="122"/>
        <v>140310.35999999999</v>
      </c>
      <c r="S201" s="81">
        <f t="shared" si="122"/>
        <v>81666.700000000012</v>
      </c>
      <c r="T201" s="82">
        <f t="shared" ref="T201:T202" si="123">S201/R201</f>
        <v>0.58204326465985845</v>
      </c>
      <c r="U201" s="81">
        <f>SUM(U202:U204)</f>
        <v>56039.979999999996</v>
      </c>
      <c r="V201" s="82">
        <f>U201/R201</f>
        <v>0.39940015833470888</v>
      </c>
      <c r="W201" s="81">
        <f>SUM(W202:W204)</f>
        <v>56039.979999999996</v>
      </c>
      <c r="X201" s="83">
        <f>W201/R201</f>
        <v>0.39940015833470888</v>
      </c>
      <c r="Y201" s="49"/>
    </row>
    <row r="202" spans="1:25" s="64" customFormat="1" ht="39" customHeight="1" x14ac:dyDescent="0.2">
      <c r="A202" s="91" t="s">
        <v>130</v>
      </c>
      <c r="B202" s="52" t="s">
        <v>131</v>
      </c>
      <c r="C202" s="53" t="s">
        <v>51</v>
      </c>
      <c r="D202" s="54" t="s">
        <v>188</v>
      </c>
      <c r="E202" s="55" t="s">
        <v>49</v>
      </c>
      <c r="F202" s="56" t="s">
        <v>190</v>
      </c>
      <c r="G202" s="57">
        <v>1</v>
      </c>
      <c r="H202" s="53" t="s">
        <v>52</v>
      </c>
      <c r="I202" s="58" t="s">
        <v>53</v>
      </c>
      <c r="J202" s="59">
        <v>4</v>
      </c>
      <c r="K202" s="60">
        <v>125000</v>
      </c>
      <c r="L202" s="61">
        <v>0</v>
      </c>
      <c r="M202" s="61">
        <v>0</v>
      </c>
      <c r="N202" s="60">
        <f t="shared" si="116"/>
        <v>125000</v>
      </c>
      <c r="O202" s="61">
        <f>84689.64</f>
        <v>84689.64</v>
      </c>
      <c r="P202" s="61">
        <v>0</v>
      </c>
      <c r="Q202" s="61">
        <v>0</v>
      </c>
      <c r="R202" s="60">
        <f t="shared" si="117"/>
        <v>40310.36</v>
      </c>
      <c r="S202" s="61">
        <f>40180.96+129.4</f>
        <v>40310.36</v>
      </c>
      <c r="T202" s="62">
        <f t="shared" si="123"/>
        <v>1</v>
      </c>
      <c r="U202" s="61">
        <f>86.9+129.4+40094.06</f>
        <v>40310.36</v>
      </c>
      <c r="V202" s="62">
        <f>U202/R202</f>
        <v>1</v>
      </c>
      <c r="W202" s="61">
        <f>86.9+129.4+40094.06</f>
        <v>40310.36</v>
      </c>
      <c r="X202" s="63">
        <f>W202/R202</f>
        <v>1</v>
      </c>
      <c r="Y202" s="42"/>
    </row>
    <row r="203" spans="1:25" s="64" customFormat="1" ht="39" customHeight="1" x14ac:dyDescent="0.2">
      <c r="A203" s="91" t="s">
        <v>130</v>
      </c>
      <c r="B203" s="52" t="s">
        <v>131</v>
      </c>
      <c r="C203" s="53" t="s">
        <v>51</v>
      </c>
      <c r="D203" s="54" t="s">
        <v>188</v>
      </c>
      <c r="E203" s="55" t="s">
        <v>49</v>
      </c>
      <c r="F203" s="56" t="s">
        <v>190</v>
      </c>
      <c r="G203" s="57">
        <v>1</v>
      </c>
      <c r="H203" s="105" t="s">
        <v>182</v>
      </c>
      <c r="I203" s="101" t="s">
        <v>183</v>
      </c>
      <c r="J203" s="59">
        <v>4</v>
      </c>
      <c r="K203" s="60">
        <v>75000</v>
      </c>
      <c r="L203" s="61">
        <v>0</v>
      </c>
      <c r="M203" s="61">
        <v>0</v>
      </c>
      <c r="N203" s="60">
        <f t="shared" si="116"/>
        <v>75000</v>
      </c>
      <c r="O203" s="61">
        <f>75000</f>
        <v>75000</v>
      </c>
      <c r="P203" s="61">
        <v>0</v>
      </c>
      <c r="Q203" s="61">
        <v>0</v>
      </c>
      <c r="R203" s="60">
        <f t="shared" si="117"/>
        <v>0</v>
      </c>
      <c r="S203" s="61">
        <v>0</v>
      </c>
      <c r="T203" s="62">
        <v>0</v>
      </c>
      <c r="U203" s="61">
        <v>0</v>
      </c>
      <c r="V203" s="62">
        <v>0</v>
      </c>
      <c r="W203" s="61">
        <v>0</v>
      </c>
      <c r="X203" s="63">
        <v>0</v>
      </c>
      <c r="Y203" s="42"/>
    </row>
    <row r="204" spans="1:25" s="64" customFormat="1" ht="39" customHeight="1" x14ac:dyDescent="0.2">
      <c r="A204" s="91" t="s">
        <v>130</v>
      </c>
      <c r="B204" s="52" t="s">
        <v>131</v>
      </c>
      <c r="C204" s="53" t="s">
        <v>51</v>
      </c>
      <c r="D204" s="54" t="s">
        <v>188</v>
      </c>
      <c r="E204" s="55" t="s">
        <v>49</v>
      </c>
      <c r="F204" s="56" t="s">
        <v>190</v>
      </c>
      <c r="G204" s="57">
        <v>1</v>
      </c>
      <c r="H204" s="105" t="s">
        <v>184</v>
      </c>
      <c r="I204" s="101" t="s">
        <v>185</v>
      </c>
      <c r="J204" s="59">
        <v>4</v>
      </c>
      <c r="K204" s="60">
        <v>0</v>
      </c>
      <c r="L204" s="61">
        <f>100000</f>
        <v>100000</v>
      </c>
      <c r="M204" s="61">
        <v>0</v>
      </c>
      <c r="N204" s="60">
        <f t="shared" si="116"/>
        <v>100000</v>
      </c>
      <c r="O204" s="61">
        <v>0</v>
      </c>
      <c r="P204" s="61">
        <v>0</v>
      </c>
      <c r="Q204" s="61">
        <v>0</v>
      </c>
      <c r="R204" s="60">
        <f t="shared" si="117"/>
        <v>100000</v>
      </c>
      <c r="S204" s="61">
        <f>29053.08+12303.26</f>
        <v>41356.340000000004</v>
      </c>
      <c r="T204" s="62">
        <f t="shared" ref="T204" si="124">S204/R204</f>
        <v>0.41356340000000003</v>
      </c>
      <c r="U204" s="61">
        <f>9225.92+6503.7</f>
        <v>15729.619999999999</v>
      </c>
      <c r="V204" s="62">
        <f>U204/R204</f>
        <v>0.1572962</v>
      </c>
      <c r="W204" s="61">
        <f>9225.92+6503.7</f>
        <v>15729.619999999999</v>
      </c>
      <c r="X204" s="63">
        <f>W204/R204</f>
        <v>0.1572962</v>
      </c>
      <c r="Y204" s="42"/>
    </row>
    <row r="205" spans="1:25" s="42" customFormat="1" ht="9" customHeight="1" x14ac:dyDescent="0.2">
      <c r="A205" s="102"/>
      <c r="B205" s="66"/>
      <c r="C205" s="67"/>
      <c r="D205" s="68"/>
      <c r="E205" s="69"/>
      <c r="F205" s="70"/>
      <c r="G205" s="71"/>
      <c r="H205" s="67"/>
      <c r="I205" s="72"/>
      <c r="J205" s="73"/>
      <c r="K205" s="75"/>
      <c r="L205" s="75"/>
      <c r="M205" s="75"/>
      <c r="N205" s="75"/>
      <c r="O205" s="75"/>
      <c r="P205" s="75"/>
      <c r="Q205" s="75"/>
      <c r="R205" s="75"/>
      <c r="S205" s="75"/>
      <c r="T205" s="76"/>
      <c r="U205" s="75"/>
      <c r="V205" s="76"/>
      <c r="W205" s="75"/>
      <c r="X205" s="77"/>
    </row>
    <row r="206" spans="1:25" s="50" customFormat="1" ht="39" customHeight="1" x14ac:dyDescent="0.2">
      <c r="A206" s="98" t="s">
        <v>130</v>
      </c>
      <c r="B206" s="161" t="s">
        <v>131</v>
      </c>
      <c r="C206" s="162"/>
      <c r="D206" s="79" t="s">
        <v>191</v>
      </c>
      <c r="E206" s="80" t="s">
        <v>49</v>
      </c>
      <c r="F206" s="161" t="s">
        <v>192</v>
      </c>
      <c r="G206" s="163"/>
      <c r="H206" s="163"/>
      <c r="I206" s="163"/>
      <c r="J206" s="162"/>
      <c r="K206" s="81">
        <f>SUM(K207:K207)</f>
        <v>314000</v>
      </c>
      <c r="L206" s="81">
        <f t="shared" ref="L206:S206" si="125">SUM(L207:L207)</f>
        <v>0</v>
      </c>
      <c r="M206" s="81">
        <f t="shared" si="125"/>
        <v>0</v>
      </c>
      <c r="N206" s="81">
        <f>SUM(N207:N207)</f>
        <v>314000</v>
      </c>
      <c r="O206" s="81">
        <f t="shared" si="125"/>
        <v>0</v>
      </c>
      <c r="P206" s="81">
        <f t="shared" si="125"/>
        <v>0</v>
      </c>
      <c r="Q206" s="81">
        <f t="shared" si="125"/>
        <v>0</v>
      </c>
      <c r="R206" s="81">
        <f t="shared" si="125"/>
        <v>314000</v>
      </c>
      <c r="S206" s="81">
        <f t="shared" si="125"/>
        <v>0</v>
      </c>
      <c r="T206" s="82">
        <f>S206/R206</f>
        <v>0</v>
      </c>
      <c r="U206" s="81">
        <f>SUM(U207:U207)</f>
        <v>0</v>
      </c>
      <c r="V206" s="82">
        <f>U206/R206</f>
        <v>0</v>
      </c>
      <c r="W206" s="81">
        <f>SUM(W207:W207)</f>
        <v>0</v>
      </c>
      <c r="X206" s="83">
        <f>W206/R206</f>
        <v>0</v>
      </c>
      <c r="Y206" s="49"/>
    </row>
    <row r="207" spans="1:25" s="50" customFormat="1" ht="39" customHeight="1" x14ac:dyDescent="0.2">
      <c r="A207" s="91" t="s">
        <v>130</v>
      </c>
      <c r="B207" s="52" t="s">
        <v>131</v>
      </c>
      <c r="C207" s="53" t="s">
        <v>51</v>
      </c>
      <c r="D207" s="54" t="s">
        <v>191</v>
      </c>
      <c r="E207" s="55" t="s">
        <v>49</v>
      </c>
      <c r="F207" s="56" t="s">
        <v>192</v>
      </c>
      <c r="G207" s="57">
        <v>1</v>
      </c>
      <c r="H207" s="53" t="s">
        <v>134</v>
      </c>
      <c r="I207" s="97" t="s">
        <v>135</v>
      </c>
      <c r="J207" s="59">
        <v>3</v>
      </c>
      <c r="K207" s="60">
        <v>314000</v>
      </c>
      <c r="L207" s="61">
        <v>0</v>
      </c>
      <c r="M207" s="61">
        <v>0</v>
      </c>
      <c r="N207" s="60">
        <f t="shared" ref="N207" si="126">K207+L207-M207</f>
        <v>314000</v>
      </c>
      <c r="O207" s="61">
        <v>0</v>
      </c>
      <c r="P207" s="61">
        <v>0</v>
      </c>
      <c r="Q207" s="61">
        <v>0</v>
      </c>
      <c r="R207" s="60">
        <f t="shared" ref="R207" si="127">N207-O207+P207+Q207</f>
        <v>314000</v>
      </c>
      <c r="S207" s="61">
        <v>0</v>
      </c>
      <c r="T207" s="62">
        <f>S207/R207</f>
        <v>0</v>
      </c>
      <c r="U207" s="61">
        <v>0</v>
      </c>
      <c r="V207" s="62">
        <f>U207/R207</f>
        <v>0</v>
      </c>
      <c r="W207" s="61">
        <v>0</v>
      </c>
      <c r="X207" s="63">
        <f>W207/R207</f>
        <v>0</v>
      </c>
      <c r="Y207" s="49"/>
    </row>
    <row r="208" spans="1:25" s="42" customFormat="1" ht="9" customHeight="1" x14ac:dyDescent="0.2">
      <c r="A208" s="102"/>
      <c r="B208" s="66"/>
      <c r="C208" s="67"/>
      <c r="D208" s="68"/>
      <c r="E208" s="69"/>
      <c r="F208" s="70"/>
      <c r="G208" s="71"/>
      <c r="H208" s="67"/>
      <c r="I208" s="72"/>
      <c r="J208" s="73"/>
      <c r="K208" s="75"/>
      <c r="L208" s="75"/>
      <c r="M208" s="75"/>
      <c r="N208" s="75"/>
      <c r="O208" s="75"/>
      <c r="P208" s="75"/>
      <c r="Q208" s="75"/>
      <c r="R208" s="75"/>
      <c r="S208" s="75"/>
      <c r="T208" s="76"/>
      <c r="U208" s="75"/>
      <c r="V208" s="76"/>
      <c r="W208" s="75"/>
      <c r="X208" s="77"/>
    </row>
    <row r="209" spans="1:25" s="50" customFormat="1" ht="39" customHeight="1" x14ac:dyDescent="0.2">
      <c r="A209" s="98" t="s">
        <v>130</v>
      </c>
      <c r="B209" s="161" t="s">
        <v>131</v>
      </c>
      <c r="C209" s="162"/>
      <c r="D209" s="79" t="s">
        <v>193</v>
      </c>
      <c r="E209" s="80" t="s">
        <v>49</v>
      </c>
      <c r="F209" s="161" t="s">
        <v>194</v>
      </c>
      <c r="G209" s="163"/>
      <c r="H209" s="163"/>
      <c r="I209" s="163"/>
      <c r="J209" s="162"/>
      <c r="K209" s="81">
        <f>SUM(K210:K211)</f>
        <v>409000</v>
      </c>
      <c r="L209" s="81">
        <f t="shared" ref="L209:S209" si="128">SUM(L210:L211)</f>
        <v>0</v>
      </c>
      <c r="M209" s="81">
        <f t="shared" si="128"/>
        <v>0</v>
      </c>
      <c r="N209" s="81">
        <f t="shared" si="128"/>
        <v>409000</v>
      </c>
      <c r="O209" s="81">
        <f t="shared" si="128"/>
        <v>0</v>
      </c>
      <c r="P209" s="81">
        <f t="shared" si="128"/>
        <v>0</v>
      </c>
      <c r="Q209" s="81">
        <f t="shared" si="128"/>
        <v>0</v>
      </c>
      <c r="R209" s="81">
        <f t="shared" si="128"/>
        <v>409000</v>
      </c>
      <c r="S209" s="81">
        <f t="shared" si="128"/>
        <v>317.02</v>
      </c>
      <c r="T209" s="82">
        <f>S209/R209</f>
        <v>7.7511002444987775E-4</v>
      </c>
      <c r="U209" s="81">
        <f>SUM(U210:U211)</f>
        <v>317.02</v>
      </c>
      <c r="V209" s="82">
        <f>U209/R209</f>
        <v>7.7511002444987775E-4</v>
      </c>
      <c r="W209" s="81">
        <f>SUM(W210:W211)</f>
        <v>317.02</v>
      </c>
      <c r="X209" s="83">
        <f>W209/R209</f>
        <v>7.7511002444987775E-4</v>
      </c>
      <c r="Y209" s="49"/>
    </row>
    <row r="210" spans="1:25" s="64" customFormat="1" ht="39" customHeight="1" x14ac:dyDescent="0.2">
      <c r="A210" s="91" t="s">
        <v>130</v>
      </c>
      <c r="B210" s="52" t="s">
        <v>131</v>
      </c>
      <c r="C210" s="53" t="s">
        <v>51</v>
      </c>
      <c r="D210" s="54" t="s">
        <v>193</v>
      </c>
      <c r="E210" s="55" t="s">
        <v>49</v>
      </c>
      <c r="F210" s="56" t="s">
        <v>194</v>
      </c>
      <c r="G210" s="57">
        <v>1</v>
      </c>
      <c r="H210" s="53" t="s">
        <v>52</v>
      </c>
      <c r="I210" s="58" t="s">
        <v>53</v>
      </c>
      <c r="J210" s="59">
        <v>4</v>
      </c>
      <c r="K210" s="60">
        <v>50000</v>
      </c>
      <c r="L210" s="61">
        <v>0</v>
      </c>
      <c r="M210" s="61">
        <v>0</v>
      </c>
      <c r="N210" s="60">
        <f>K210+L210-M210</f>
        <v>50000</v>
      </c>
      <c r="O210" s="61">
        <v>0</v>
      </c>
      <c r="P210" s="61">
        <v>0</v>
      </c>
      <c r="Q210" s="61">
        <v>0</v>
      </c>
      <c r="R210" s="60">
        <f>N210-O210+P210+Q210</f>
        <v>50000</v>
      </c>
      <c r="S210" s="61">
        <v>0</v>
      </c>
      <c r="T210" s="62">
        <f>S210/R210</f>
        <v>0</v>
      </c>
      <c r="U210" s="61">
        <v>0</v>
      </c>
      <c r="V210" s="62">
        <f>U210/R210</f>
        <v>0</v>
      </c>
      <c r="W210" s="61">
        <v>0</v>
      </c>
      <c r="X210" s="63">
        <f>W210/R210</f>
        <v>0</v>
      </c>
      <c r="Y210" s="42"/>
    </row>
    <row r="211" spans="1:25" s="64" customFormat="1" ht="39" customHeight="1" x14ac:dyDescent="0.2">
      <c r="A211" s="91" t="s">
        <v>130</v>
      </c>
      <c r="B211" s="52" t="s">
        <v>131</v>
      </c>
      <c r="C211" s="53" t="s">
        <v>51</v>
      </c>
      <c r="D211" s="54" t="s">
        <v>193</v>
      </c>
      <c r="E211" s="55" t="s">
        <v>49</v>
      </c>
      <c r="F211" s="56" t="s">
        <v>194</v>
      </c>
      <c r="G211" s="57">
        <v>1</v>
      </c>
      <c r="H211" s="53" t="s">
        <v>134</v>
      </c>
      <c r="I211" s="97" t="s">
        <v>135</v>
      </c>
      <c r="J211" s="59">
        <v>3</v>
      </c>
      <c r="K211" s="60">
        <v>359000</v>
      </c>
      <c r="L211" s="61">
        <v>0</v>
      </c>
      <c r="M211" s="61">
        <v>0</v>
      </c>
      <c r="N211" s="60">
        <f>K211+L211-M211</f>
        <v>359000</v>
      </c>
      <c r="O211" s="61">
        <v>0</v>
      </c>
      <c r="P211" s="61">
        <v>0</v>
      </c>
      <c r="Q211" s="61">
        <v>0</v>
      </c>
      <c r="R211" s="60">
        <f>N211-O211+P211+Q211</f>
        <v>359000</v>
      </c>
      <c r="S211" s="61">
        <f>259.02+58</f>
        <v>317.02</v>
      </c>
      <c r="T211" s="62">
        <f>S211/R211</f>
        <v>8.8306406685236764E-4</v>
      </c>
      <c r="U211" s="61">
        <f>259.02+58</f>
        <v>317.02</v>
      </c>
      <c r="V211" s="62">
        <f>U211/R211</f>
        <v>8.8306406685236764E-4</v>
      </c>
      <c r="W211" s="61">
        <f>259.02+58</f>
        <v>317.02</v>
      </c>
      <c r="X211" s="63">
        <f>W211/R211</f>
        <v>8.8306406685236764E-4</v>
      </c>
      <c r="Y211" s="104"/>
    </row>
    <row r="212" spans="1:25" s="42" customFormat="1" ht="9" customHeight="1" x14ac:dyDescent="0.2">
      <c r="A212" s="102"/>
      <c r="B212" s="66"/>
      <c r="C212" s="67"/>
      <c r="D212" s="68"/>
      <c r="E212" s="69"/>
      <c r="F212" s="70"/>
      <c r="G212" s="71"/>
      <c r="H212" s="67"/>
      <c r="I212" s="72"/>
      <c r="J212" s="73"/>
      <c r="K212" s="75"/>
      <c r="L212" s="75"/>
      <c r="M212" s="75"/>
      <c r="N212" s="75"/>
      <c r="O212" s="75"/>
      <c r="P212" s="75"/>
      <c r="Q212" s="75"/>
      <c r="R212" s="75"/>
      <c r="S212" s="75"/>
      <c r="T212" s="76"/>
      <c r="U212" s="75"/>
      <c r="V212" s="76"/>
      <c r="W212" s="75"/>
      <c r="X212" s="77"/>
    </row>
    <row r="213" spans="1:25" s="50" customFormat="1" ht="39" customHeight="1" x14ac:dyDescent="0.2">
      <c r="A213" s="98" t="s">
        <v>130</v>
      </c>
      <c r="B213" s="161" t="s">
        <v>131</v>
      </c>
      <c r="C213" s="162"/>
      <c r="D213" s="79" t="s">
        <v>195</v>
      </c>
      <c r="E213" s="80" t="s">
        <v>49</v>
      </c>
      <c r="F213" s="161" t="s">
        <v>196</v>
      </c>
      <c r="G213" s="163"/>
      <c r="H213" s="163"/>
      <c r="I213" s="163"/>
      <c r="J213" s="162"/>
      <c r="K213" s="106">
        <f>SUM(K214:K215)</f>
        <v>1502000</v>
      </c>
      <c r="L213" s="106">
        <f t="shared" ref="L213:S213" si="129">SUM(L214:L215)</f>
        <v>5000</v>
      </c>
      <c r="M213" s="106">
        <f t="shared" si="129"/>
        <v>0</v>
      </c>
      <c r="N213" s="106">
        <f t="shared" si="129"/>
        <v>1507000</v>
      </c>
      <c r="O213" s="106">
        <f t="shared" si="129"/>
        <v>0</v>
      </c>
      <c r="P213" s="106">
        <f t="shared" si="129"/>
        <v>0</v>
      </c>
      <c r="Q213" s="106">
        <f t="shared" si="129"/>
        <v>0</v>
      </c>
      <c r="R213" s="106">
        <f t="shared" si="129"/>
        <v>1507000</v>
      </c>
      <c r="S213" s="106">
        <f t="shared" si="129"/>
        <v>565770.20000000007</v>
      </c>
      <c r="T213" s="82">
        <f>S213/R213</f>
        <v>0.3754281353682814</v>
      </c>
      <c r="U213" s="106">
        <f>SUM(U214:U215)</f>
        <v>523256.04109999997</v>
      </c>
      <c r="V213" s="82">
        <f>U213/R213</f>
        <v>0.34721701466489713</v>
      </c>
      <c r="W213" s="106">
        <f>SUM(W214:W215)</f>
        <v>522285.66</v>
      </c>
      <c r="X213" s="83">
        <f>W213/R213</f>
        <v>0.346573098871931</v>
      </c>
      <c r="Y213" s="49"/>
    </row>
    <row r="214" spans="1:25" s="64" customFormat="1" ht="39" customHeight="1" x14ac:dyDescent="0.2">
      <c r="A214" s="91" t="s">
        <v>130</v>
      </c>
      <c r="B214" s="52" t="s">
        <v>131</v>
      </c>
      <c r="C214" s="53" t="s">
        <v>51</v>
      </c>
      <c r="D214" s="54" t="s">
        <v>195</v>
      </c>
      <c r="E214" s="55" t="s">
        <v>49</v>
      </c>
      <c r="F214" s="56" t="s">
        <v>196</v>
      </c>
      <c r="G214" s="57">
        <v>1</v>
      </c>
      <c r="H214" s="53" t="s">
        <v>134</v>
      </c>
      <c r="I214" s="97" t="s">
        <v>135</v>
      </c>
      <c r="J214" s="95">
        <v>3</v>
      </c>
      <c r="K214" s="61">
        <v>1502000</v>
      </c>
      <c r="L214" s="61">
        <v>0</v>
      </c>
      <c r="M214" s="61">
        <v>0</v>
      </c>
      <c r="N214" s="61">
        <f>K214+L214-M214</f>
        <v>1502000</v>
      </c>
      <c r="O214" s="61">
        <v>0</v>
      </c>
      <c r="P214" s="61">
        <v>0</v>
      </c>
      <c r="Q214" s="61">
        <v>0</v>
      </c>
      <c r="R214" s="61">
        <f>N214-O214+P214+Q214</f>
        <v>1502000</v>
      </c>
      <c r="S214" s="61">
        <f>129439.06+157680.85+243121.79+9335.75+24992.75</f>
        <v>564570.20000000007</v>
      </c>
      <c r="T214" s="62">
        <f>S214/R214</f>
        <v>0.3758789613848203</v>
      </c>
      <c r="U214" s="61">
        <f>111624.8611+167456.01+179106.88+21614.74+42253.55</f>
        <v>522056.04109999997</v>
      </c>
      <c r="V214" s="62">
        <f>U214/R214</f>
        <v>0.34757392882822902</v>
      </c>
      <c r="W214" s="61">
        <f>65712.31+212279.29+179358.88+21614.74+42120.44</f>
        <v>521085.66</v>
      </c>
      <c r="X214" s="63">
        <f>W214/R214</f>
        <v>0.34692786950732357</v>
      </c>
      <c r="Y214" s="42"/>
    </row>
    <row r="215" spans="1:25" s="64" customFormat="1" ht="39" customHeight="1" x14ac:dyDescent="0.2">
      <c r="A215" s="91" t="s">
        <v>130</v>
      </c>
      <c r="B215" s="52" t="s">
        <v>131</v>
      </c>
      <c r="C215" s="53" t="s">
        <v>51</v>
      </c>
      <c r="D215" s="54" t="s">
        <v>195</v>
      </c>
      <c r="E215" s="55" t="s">
        <v>49</v>
      </c>
      <c r="F215" s="56" t="s">
        <v>196</v>
      </c>
      <c r="G215" s="57">
        <v>1</v>
      </c>
      <c r="H215" s="99" t="s">
        <v>140</v>
      </c>
      <c r="I215" s="100" t="s">
        <v>141</v>
      </c>
      <c r="J215" s="95">
        <v>3</v>
      </c>
      <c r="K215" s="61">
        <v>0</v>
      </c>
      <c r="L215" s="61">
        <f>5000</f>
        <v>5000</v>
      </c>
      <c r="M215" s="61">
        <v>0</v>
      </c>
      <c r="N215" s="61">
        <f>K215+L215-M215</f>
        <v>5000</v>
      </c>
      <c r="O215" s="61">
        <v>0</v>
      </c>
      <c r="P215" s="61">
        <v>0</v>
      </c>
      <c r="Q215" s="61">
        <v>0</v>
      </c>
      <c r="R215" s="61">
        <f>N215-O215+P215+Q215</f>
        <v>5000</v>
      </c>
      <c r="S215" s="61">
        <f>1200</f>
        <v>1200</v>
      </c>
      <c r="T215" s="62">
        <f>S215/R215</f>
        <v>0.24</v>
      </c>
      <c r="U215" s="61">
        <f>1200</f>
        <v>1200</v>
      </c>
      <c r="V215" s="62">
        <f>U215/R215</f>
        <v>0.24</v>
      </c>
      <c r="W215" s="61">
        <f>696+504</f>
        <v>1200</v>
      </c>
      <c r="X215" s="63">
        <f>W215/R215</f>
        <v>0.24</v>
      </c>
      <c r="Y215" s="42"/>
    </row>
    <row r="216" spans="1:25" s="42" customFormat="1" ht="9" customHeight="1" x14ac:dyDescent="0.2">
      <c r="A216" s="102"/>
      <c r="B216" s="66"/>
      <c r="C216" s="67"/>
      <c r="D216" s="68"/>
      <c r="E216" s="69"/>
      <c r="F216" s="70"/>
      <c r="G216" s="71"/>
      <c r="H216" s="67"/>
      <c r="I216" s="72"/>
      <c r="J216" s="73"/>
      <c r="K216" s="75"/>
      <c r="L216" s="75"/>
      <c r="M216" s="75"/>
      <c r="N216" s="75"/>
      <c r="O216" s="75"/>
      <c r="P216" s="75"/>
      <c r="Q216" s="75"/>
      <c r="R216" s="75"/>
      <c r="S216" s="75"/>
      <c r="T216" s="76"/>
      <c r="U216" s="75"/>
      <c r="V216" s="76"/>
      <c r="W216" s="75"/>
      <c r="X216" s="77"/>
    </row>
    <row r="217" spans="1:25" s="50" customFormat="1" ht="39" customHeight="1" x14ac:dyDescent="0.2">
      <c r="A217" s="98" t="s">
        <v>130</v>
      </c>
      <c r="B217" s="161" t="s">
        <v>131</v>
      </c>
      <c r="C217" s="162"/>
      <c r="D217" s="79" t="s">
        <v>197</v>
      </c>
      <c r="E217" s="80" t="s">
        <v>49</v>
      </c>
      <c r="F217" s="161" t="s">
        <v>198</v>
      </c>
      <c r="G217" s="163"/>
      <c r="H217" s="163"/>
      <c r="I217" s="163"/>
      <c r="J217" s="162"/>
      <c r="K217" s="81">
        <f>K218</f>
        <v>10700</v>
      </c>
      <c r="L217" s="81">
        <f t="shared" ref="L217:S217" si="130">L218</f>
        <v>0</v>
      </c>
      <c r="M217" s="81">
        <f t="shared" si="130"/>
        <v>0</v>
      </c>
      <c r="N217" s="81">
        <f t="shared" si="130"/>
        <v>10700</v>
      </c>
      <c r="O217" s="81">
        <f t="shared" si="130"/>
        <v>0</v>
      </c>
      <c r="P217" s="81">
        <f t="shared" si="130"/>
        <v>0</v>
      </c>
      <c r="Q217" s="81">
        <f t="shared" si="130"/>
        <v>0</v>
      </c>
      <c r="R217" s="81">
        <f t="shared" si="130"/>
        <v>10700</v>
      </c>
      <c r="S217" s="81">
        <f t="shared" si="130"/>
        <v>9199.44</v>
      </c>
      <c r="T217" s="82">
        <f>S217/R217</f>
        <v>0.85976074766355148</v>
      </c>
      <c r="U217" s="81">
        <f>U218</f>
        <v>9199.44</v>
      </c>
      <c r="V217" s="82">
        <f>U217/R217</f>
        <v>0.85976074766355148</v>
      </c>
      <c r="W217" s="81">
        <f>W218</f>
        <v>9199.44</v>
      </c>
      <c r="X217" s="83">
        <f>W217/R217</f>
        <v>0.85976074766355148</v>
      </c>
      <c r="Y217" s="49"/>
    </row>
    <row r="218" spans="1:25" s="64" customFormat="1" ht="39" customHeight="1" x14ac:dyDescent="0.2">
      <c r="A218" s="91" t="s">
        <v>130</v>
      </c>
      <c r="B218" s="52" t="s">
        <v>131</v>
      </c>
      <c r="C218" s="53" t="s">
        <v>75</v>
      </c>
      <c r="D218" s="54" t="s">
        <v>197</v>
      </c>
      <c r="E218" s="55" t="s">
        <v>49</v>
      </c>
      <c r="F218" s="56" t="s">
        <v>198</v>
      </c>
      <c r="G218" s="57">
        <v>1</v>
      </c>
      <c r="H218" s="53" t="s">
        <v>134</v>
      </c>
      <c r="I218" s="97" t="s">
        <v>135</v>
      </c>
      <c r="J218" s="59">
        <v>3</v>
      </c>
      <c r="K218" s="60">
        <v>10700</v>
      </c>
      <c r="L218" s="61">
        <v>0</v>
      </c>
      <c r="M218" s="61">
        <v>0</v>
      </c>
      <c r="N218" s="60">
        <f>K218+L218-M218</f>
        <v>10700</v>
      </c>
      <c r="O218" s="61">
        <v>0</v>
      </c>
      <c r="P218" s="61">
        <v>0</v>
      </c>
      <c r="Q218" s="61">
        <v>0</v>
      </c>
      <c r="R218" s="60">
        <f>N218-O218+P218+Q218</f>
        <v>10700</v>
      </c>
      <c r="S218" s="61">
        <f>9199.44</f>
        <v>9199.44</v>
      </c>
      <c r="T218" s="62">
        <f>S218/R218</f>
        <v>0.85976074766355148</v>
      </c>
      <c r="U218" s="61">
        <f>9199.44</f>
        <v>9199.44</v>
      </c>
      <c r="V218" s="62">
        <f>U218/R218</f>
        <v>0.85976074766355148</v>
      </c>
      <c r="W218" s="61">
        <f>9199.44</f>
        <v>9199.44</v>
      </c>
      <c r="X218" s="63">
        <f>W218/R218</f>
        <v>0.85976074766355148</v>
      </c>
      <c r="Y218" s="42"/>
    </row>
    <row r="219" spans="1:25" s="42" customFormat="1" ht="9" customHeight="1" x14ac:dyDescent="0.2">
      <c r="A219" s="102"/>
      <c r="B219" s="66"/>
      <c r="C219" s="67"/>
      <c r="D219" s="68"/>
      <c r="E219" s="69"/>
      <c r="F219" s="70"/>
      <c r="G219" s="71"/>
      <c r="H219" s="67"/>
      <c r="I219" s="72"/>
      <c r="J219" s="73"/>
      <c r="K219" s="75"/>
      <c r="L219" s="75"/>
      <c r="M219" s="75"/>
      <c r="N219" s="75"/>
      <c r="O219" s="75"/>
      <c r="P219" s="75"/>
      <c r="Q219" s="75"/>
      <c r="R219" s="75"/>
      <c r="S219" s="75"/>
      <c r="T219" s="76"/>
      <c r="U219" s="75"/>
      <c r="V219" s="76"/>
      <c r="W219" s="75"/>
      <c r="X219" s="77"/>
    </row>
    <row r="220" spans="1:25" s="50" customFormat="1" ht="39" customHeight="1" x14ac:dyDescent="0.2">
      <c r="A220" s="98" t="s">
        <v>130</v>
      </c>
      <c r="B220" s="161" t="s">
        <v>131</v>
      </c>
      <c r="C220" s="162"/>
      <c r="D220" s="79" t="s">
        <v>199</v>
      </c>
      <c r="E220" s="80" t="s">
        <v>49</v>
      </c>
      <c r="F220" s="161" t="s">
        <v>200</v>
      </c>
      <c r="G220" s="163"/>
      <c r="H220" s="163"/>
      <c r="I220" s="163"/>
      <c r="J220" s="162"/>
      <c r="K220" s="81">
        <f>SUM(K221:K222)</f>
        <v>320000</v>
      </c>
      <c r="L220" s="81">
        <f t="shared" ref="L220:S220" si="131">SUM(L221:L222)</f>
        <v>1500000</v>
      </c>
      <c r="M220" s="81">
        <f t="shared" si="131"/>
        <v>350000</v>
      </c>
      <c r="N220" s="81">
        <f t="shared" si="131"/>
        <v>1470000</v>
      </c>
      <c r="O220" s="81">
        <f t="shared" si="131"/>
        <v>0</v>
      </c>
      <c r="P220" s="81">
        <f t="shared" si="131"/>
        <v>0</v>
      </c>
      <c r="Q220" s="81">
        <f t="shared" si="131"/>
        <v>0</v>
      </c>
      <c r="R220" s="81">
        <f t="shared" si="131"/>
        <v>1470000</v>
      </c>
      <c r="S220" s="81">
        <f t="shared" si="131"/>
        <v>1050000</v>
      </c>
      <c r="T220" s="82">
        <f>S220/R220</f>
        <v>0.7142857142857143</v>
      </c>
      <c r="U220" s="81">
        <f>SUM(U221:U222)</f>
        <v>1050000</v>
      </c>
      <c r="V220" s="82">
        <f>U220/R220</f>
        <v>0.7142857142857143</v>
      </c>
      <c r="W220" s="81">
        <f>SUM(W221:W222)</f>
        <v>1050000</v>
      </c>
      <c r="X220" s="83">
        <f>W220/R220</f>
        <v>0.7142857142857143</v>
      </c>
      <c r="Y220" s="49"/>
    </row>
    <row r="221" spans="1:25" s="64" customFormat="1" ht="39" customHeight="1" x14ac:dyDescent="0.2">
      <c r="A221" s="91" t="s">
        <v>130</v>
      </c>
      <c r="B221" s="52" t="s">
        <v>131</v>
      </c>
      <c r="C221" s="53" t="s">
        <v>75</v>
      </c>
      <c r="D221" s="54" t="s">
        <v>199</v>
      </c>
      <c r="E221" s="55" t="s">
        <v>49</v>
      </c>
      <c r="F221" s="56" t="s">
        <v>200</v>
      </c>
      <c r="G221" s="57">
        <v>1</v>
      </c>
      <c r="H221" s="53" t="s">
        <v>134</v>
      </c>
      <c r="I221" s="97" t="s">
        <v>135</v>
      </c>
      <c r="J221" s="59">
        <v>3</v>
      </c>
      <c r="K221" s="60">
        <v>320000</v>
      </c>
      <c r="L221" s="61">
        <f>350000</f>
        <v>350000</v>
      </c>
      <c r="M221" s="61">
        <v>0</v>
      </c>
      <c r="N221" s="60">
        <f>K221+L221-M221</f>
        <v>670000</v>
      </c>
      <c r="O221" s="61">
        <v>0</v>
      </c>
      <c r="P221" s="61">
        <v>0</v>
      </c>
      <c r="Q221" s="61">
        <v>0</v>
      </c>
      <c r="R221" s="60">
        <f>N221-O221+P221+Q221</f>
        <v>670000</v>
      </c>
      <c r="S221" s="61">
        <f>350000</f>
        <v>350000</v>
      </c>
      <c r="T221" s="62">
        <f>S221/R221</f>
        <v>0.52238805970149249</v>
      </c>
      <c r="U221" s="61">
        <f>350000</f>
        <v>350000</v>
      </c>
      <c r="V221" s="62">
        <f>U221/R221</f>
        <v>0.52238805970149249</v>
      </c>
      <c r="W221" s="61">
        <f>350000</f>
        <v>350000</v>
      </c>
      <c r="X221" s="63">
        <f>W221/R221</f>
        <v>0.52238805970149249</v>
      </c>
      <c r="Y221" s="42"/>
    </row>
    <row r="222" spans="1:25" s="64" customFormat="1" ht="39" customHeight="1" x14ac:dyDescent="0.2">
      <c r="A222" s="91" t="s">
        <v>130</v>
      </c>
      <c r="B222" s="52" t="s">
        <v>131</v>
      </c>
      <c r="C222" s="53" t="s">
        <v>75</v>
      </c>
      <c r="D222" s="54" t="s">
        <v>199</v>
      </c>
      <c r="E222" s="55" t="s">
        <v>49</v>
      </c>
      <c r="F222" s="56" t="s">
        <v>200</v>
      </c>
      <c r="G222" s="57">
        <v>1</v>
      </c>
      <c r="H222" s="99" t="s">
        <v>142</v>
      </c>
      <c r="I222" s="101" t="s">
        <v>143</v>
      </c>
      <c r="J222" s="59">
        <v>3</v>
      </c>
      <c r="K222" s="60">
        <v>0</v>
      </c>
      <c r="L222" s="61">
        <f>1150000</f>
        <v>1150000</v>
      </c>
      <c r="M222" s="61">
        <f>350000</f>
        <v>350000</v>
      </c>
      <c r="N222" s="60">
        <f>K222+L222-M222</f>
        <v>800000</v>
      </c>
      <c r="O222" s="61">
        <v>0</v>
      </c>
      <c r="P222" s="61">
        <v>0</v>
      </c>
      <c r="Q222" s="61">
        <v>0</v>
      </c>
      <c r="R222" s="60">
        <f>N222-O222+P222+Q222</f>
        <v>800000</v>
      </c>
      <c r="S222" s="61">
        <f>350000+350000</f>
        <v>700000</v>
      </c>
      <c r="T222" s="62">
        <f>S222/R222</f>
        <v>0.875</v>
      </c>
      <c r="U222" s="61">
        <f>350000+350000</f>
        <v>700000</v>
      </c>
      <c r="V222" s="62">
        <f>U222/R222</f>
        <v>0.875</v>
      </c>
      <c r="W222" s="61">
        <f>350000+350000</f>
        <v>700000</v>
      </c>
      <c r="X222" s="63">
        <f>W222/R222</f>
        <v>0.875</v>
      </c>
      <c r="Y222" s="42"/>
    </row>
    <row r="223" spans="1:25" s="42" customFormat="1" ht="9" customHeight="1" x14ac:dyDescent="0.2">
      <c r="A223" s="102"/>
      <c r="B223" s="66"/>
      <c r="C223" s="67"/>
      <c r="D223" s="68"/>
      <c r="E223" s="69"/>
      <c r="F223" s="70"/>
      <c r="G223" s="71"/>
      <c r="H223" s="67"/>
      <c r="I223" s="72"/>
      <c r="J223" s="73"/>
      <c r="K223" s="75"/>
      <c r="L223" s="75"/>
      <c r="M223" s="75"/>
      <c r="N223" s="75"/>
      <c r="O223" s="75"/>
      <c r="P223" s="75"/>
      <c r="Q223" s="75"/>
      <c r="R223" s="75"/>
      <c r="S223" s="75"/>
      <c r="T223" s="76"/>
      <c r="U223" s="75"/>
      <c r="V223" s="76"/>
      <c r="W223" s="75"/>
      <c r="X223" s="77"/>
    </row>
    <row r="224" spans="1:25" s="50" customFormat="1" ht="39" customHeight="1" x14ac:dyDescent="0.2">
      <c r="A224" s="98" t="s">
        <v>130</v>
      </c>
      <c r="B224" s="161" t="s">
        <v>131</v>
      </c>
      <c r="C224" s="162"/>
      <c r="D224" s="79" t="s">
        <v>201</v>
      </c>
      <c r="E224" s="80" t="s">
        <v>73</v>
      </c>
      <c r="F224" s="161" t="s">
        <v>202</v>
      </c>
      <c r="G224" s="163"/>
      <c r="H224" s="163"/>
      <c r="I224" s="163"/>
      <c r="J224" s="162"/>
      <c r="K224" s="81">
        <f t="shared" ref="K224:U224" si="132">SUM(K225:K226)</f>
        <v>34684300</v>
      </c>
      <c r="L224" s="81">
        <f t="shared" si="132"/>
        <v>807445</v>
      </c>
      <c r="M224" s="81">
        <f t="shared" si="132"/>
        <v>350000</v>
      </c>
      <c r="N224" s="81">
        <f t="shared" si="132"/>
        <v>35141745</v>
      </c>
      <c r="O224" s="81">
        <f t="shared" si="132"/>
        <v>0</v>
      </c>
      <c r="P224" s="81">
        <f t="shared" si="132"/>
        <v>0</v>
      </c>
      <c r="Q224" s="81">
        <f t="shared" si="132"/>
        <v>0</v>
      </c>
      <c r="R224" s="81">
        <f t="shared" si="132"/>
        <v>35141745</v>
      </c>
      <c r="S224" s="81">
        <f t="shared" si="132"/>
        <v>9982041.2200000007</v>
      </c>
      <c r="T224" s="82">
        <f t="shared" ref="T224:T226" si="133">S224/R224</f>
        <v>0.28405081250233877</v>
      </c>
      <c r="U224" s="81">
        <f t="shared" si="132"/>
        <v>8715455.0500000007</v>
      </c>
      <c r="V224" s="82">
        <f>U224/R224</f>
        <v>0.24800860202018996</v>
      </c>
      <c r="W224" s="81">
        <f>SUM(W225:W226)</f>
        <v>8715455.0399999991</v>
      </c>
      <c r="X224" s="83">
        <f>W224/R224</f>
        <v>0.24800860173562808</v>
      </c>
      <c r="Y224" s="49"/>
    </row>
    <row r="225" spans="1:25" s="64" customFormat="1" ht="39" customHeight="1" x14ac:dyDescent="0.2">
      <c r="A225" s="91" t="s">
        <v>130</v>
      </c>
      <c r="B225" s="52" t="s">
        <v>131</v>
      </c>
      <c r="C225" s="53" t="s">
        <v>75</v>
      </c>
      <c r="D225" s="54" t="s">
        <v>201</v>
      </c>
      <c r="E225" s="55" t="s">
        <v>73</v>
      </c>
      <c r="F225" s="56" t="s">
        <v>202</v>
      </c>
      <c r="G225" s="57">
        <v>1</v>
      </c>
      <c r="H225" s="53" t="s">
        <v>134</v>
      </c>
      <c r="I225" s="97" t="s">
        <v>135</v>
      </c>
      <c r="J225" s="59">
        <v>3</v>
      </c>
      <c r="K225" s="60">
        <v>34684300</v>
      </c>
      <c r="L225" s="61">
        <v>0</v>
      </c>
      <c r="M225" s="61">
        <v>350000</v>
      </c>
      <c r="N225" s="60">
        <f>K225+L225-M225</f>
        <v>34334300</v>
      </c>
      <c r="O225" s="61">
        <v>0</v>
      </c>
      <c r="P225" s="61">
        <v>0</v>
      </c>
      <c r="Q225" s="61">
        <v>0</v>
      </c>
      <c r="R225" s="60">
        <f>N225-O225+P225+Q225</f>
        <v>34334300</v>
      </c>
      <c r="S225" s="61">
        <f>2412632.92+1435931.5+2417976.79+2463161.19+1054702.42</f>
        <v>9784404.8200000003</v>
      </c>
      <c r="T225" s="62">
        <f t="shared" si="133"/>
        <v>0.28497464110233789</v>
      </c>
      <c r="U225" s="61">
        <f>742802.81+1774110.83+2709872.06+1931978.75+1359054.2</f>
        <v>8517818.6500000004</v>
      </c>
      <c r="V225" s="62">
        <f>U225/R225</f>
        <v>0.24808482042738603</v>
      </c>
      <c r="W225" s="61">
        <f>656956.86+1642889.42+2748991.01+1906232.75+1562748.6</f>
        <v>8517818.6399999987</v>
      </c>
      <c r="X225" s="63">
        <f>W225/R225</f>
        <v>0.24808482013613206</v>
      </c>
      <c r="Y225" s="42"/>
    </row>
    <row r="226" spans="1:25" s="64" customFormat="1" ht="39" customHeight="1" x14ac:dyDescent="0.2">
      <c r="A226" s="91" t="s">
        <v>130</v>
      </c>
      <c r="B226" s="52" t="s">
        <v>131</v>
      </c>
      <c r="C226" s="53" t="s">
        <v>75</v>
      </c>
      <c r="D226" s="54" t="s">
        <v>201</v>
      </c>
      <c r="E226" s="55" t="s">
        <v>73</v>
      </c>
      <c r="F226" s="56" t="s">
        <v>202</v>
      </c>
      <c r="G226" s="57">
        <v>1</v>
      </c>
      <c r="H226" s="99" t="s">
        <v>142</v>
      </c>
      <c r="I226" s="101" t="s">
        <v>143</v>
      </c>
      <c r="J226" s="59">
        <v>3</v>
      </c>
      <c r="K226" s="60">
        <v>0</v>
      </c>
      <c r="L226" s="61">
        <f>457445+350000</f>
        <v>807445</v>
      </c>
      <c r="M226" s="61">
        <v>0</v>
      </c>
      <c r="N226" s="60">
        <f>K226+L226-M226</f>
        <v>807445</v>
      </c>
      <c r="O226" s="61">
        <v>0</v>
      </c>
      <c r="P226" s="61">
        <v>0</v>
      </c>
      <c r="Q226" s="61">
        <v>0</v>
      </c>
      <c r="R226" s="60">
        <f>N226-O226+P226+Q226</f>
        <v>807445</v>
      </c>
      <c r="S226" s="61">
        <f>197636.4</f>
        <v>197636.4</v>
      </c>
      <c r="T226" s="62">
        <f t="shared" si="133"/>
        <v>0.24476763123184861</v>
      </c>
      <c r="U226" s="61">
        <f>197636.4</f>
        <v>197636.4</v>
      </c>
      <c r="V226" s="62">
        <f>U226/R226</f>
        <v>0.24476763123184861</v>
      </c>
      <c r="W226" s="61">
        <f>197636.4</f>
        <v>197636.4</v>
      </c>
      <c r="X226" s="63">
        <f>W226/R226</f>
        <v>0.24476763123184861</v>
      </c>
      <c r="Y226" s="42"/>
    </row>
    <row r="227" spans="1:25" s="42" customFormat="1" ht="9" customHeight="1" x14ac:dyDescent="0.2">
      <c r="A227" s="102"/>
      <c r="B227" s="66"/>
      <c r="C227" s="67"/>
      <c r="D227" s="68"/>
      <c r="E227" s="69"/>
      <c r="F227" s="70"/>
      <c r="G227" s="71"/>
      <c r="H227" s="67"/>
      <c r="I227" s="72"/>
      <c r="J227" s="73"/>
      <c r="K227" s="75"/>
      <c r="L227" s="75"/>
      <c r="M227" s="75"/>
      <c r="N227" s="75"/>
      <c r="O227" s="75"/>
      <c r="P227" s="75"/>
      <c r="Q227" s="75"/>
      <c r="R227" s="75"/>
      <c r="S227" s="75"/>
      <c r="T227" s="76"/>
      <c r="U227" s="75"/>
      <c r="V227" s="76"/>
      <c r="W227" s="75"/>
      <c r="X227" s="77"/>
    </row>
    <row r="228" spans="1:25" s="50" customFormat="1" ht="39" customHeight="1" x14ac:dyDescent="0.2">
      <c r="A228" s="98" t="s">
        <v>130</v>
      </c>
      <c r="B228" s="161" t="s">
        <v>131</v>
      </c>
      <c r="C228" s="162"/>
      <c r="D228" s="79" t="s">
        <v>203</v>
      </c>
      <c r="E228" s="80" t="s">
        <v>73</v>
      </c>
      <c r="F228" s="161" t="s">
        <v>74</v>
      </c>
      <c r="G228" s="163"/>
      <c r="H228" s="163"/>
      <c r="I228" s="163"/>
      <c r="J228" s="162"/>
      <c r="K228" s="81">
        <f>SUM(K229:K229)</f>
        <v>9273994</v>
      </c>
      <c r="L228" s="81">
        <f t="shared" ref="L228:S228" si="134">SUM(L229:L229)</f>
        <v>0</v>
      </c>
      <c r="M228" s="81">
        <f t="shared" si="134"/>
        <v>0</v>
      </c>
      <c r="N228" s="81">
        <f>SUM(N229:N229)</f>
        <v>9273994</v>
      </c>
      <c r="O228" s="81">
        <f t="shared" si="134"/>
        <v>0</v>
      </c>
      <c r="P228" s="81">
        <f t="shared" si="134"/>
        <v>0</v>
      </c>
      <c r="Q228" s="81">
        <f t="shared" si="134"/>
        <v>0</v>
      </c>
      <c r="R228" s="81">
        <f t="shared" si="134"/>
        <v>9273994</v>
      </c>
      <c r="S228" s="81">
        <f t="shared" si="134"/>
        <v>3376667.84</v>
      </c>
      <c r="T228" s="82">
        <f>S228/R228</f>
        <v>0.3641007143200653</v>
      </c>
      <c r="U228" s="81">
        <f>SUM(U229:U229)</f>
        <v>2755601.31</v>
      </c>
      <c r="V228" s="82">
        <f>U228/R228</f>
        <v>0.29713209971884824</v>
      </c>
      <c r="W228" s="81">
        <f>SUM(W229:W229)</f>
        <v>2755601.31</v>
      </c>
      <c r="X228" s="83">
        <f>W228/R228</f>
        <v>0.29713209971884824</v>
      </c>
      <c r="Y228" s="49"/>
    </row>
    <row r="229" spans="1:25" s="64" customFormat="1" ht="39" customHeight="1" x14ac:dyDescent="0.2">
      <c r="A229" s="91" t="s">
        <v>130</v>
      </c>
      <c r="B229" s="52" t="s">
        <v>131</v>
      </c>
      <c r="C229" s="53" t="s">
        <v>75</v>
      </c>
      <c r="D229" s="54" t="s">
        <v>203</v>
      </c>
      <c r="E229" s="55" t="s">
        <v>73</v>
      </c>
      <c r="F229" s="56" t="s">
        <v>74</v>
      </c>
      <c r="G229" s="57">
        <v>1</v>
      </c>
      <c r="H229" s="53" t="s">
        <v>134</v>
      </c>
      <c r="I229" s="97" t="s">
        <v>135</v>
      </c>
      <c r="J229" s="59">
        <v>3</v>
      </c>
      <c r="K229" s="60">
        <v>9273994</v>
      </c>
      <c r="L229" s="61">
        <v>0</v>
      </c>
      <c r="M229" s="61">
        <v>0</v>
      </c>
      <c r="N229" s="60">
        <f>K229+L229-M229</f>
        <v>9273994</v>
      </c>
      <c r="O229" s="61">
        <v>0</v>
      </c>
      <c r="P229" s="61">
        <v>0</v>
      </c>
      <c r="Q229" s="61">
        <v>0</v>
      </c>
      <c r="R229" s="60">
        <f>N229-O229+P229+Q229</f>
        <v>9273994</v>
      </c>
      <c r="S229" s="61">
        <f>741834.46+350163.83+604000+350000+1330669.55</f>
        <v>3376667.84</v>
      </c>
      <c r="T229" s="62">
        <f>S229/R229</f>
        <v>0.3641007143200653</v>
      </c>
      <c r="U229" s="61">
        <f>290834.46+313692.43+735588.83+331500.5+1083985.09</f>
        <v>2755601.31</v>
      </c>
      <c r="V229" s="62">
        <f>U229/R229</f>
        <v>0.29713209971884824</v>
      </c>
      <c r="W229" s="61">
        <f>604526.89+735588.83+331500.5+1083985.09</f>
        <v>2755601.31</v>
      </c>
      <c r="X229" s="63">
        <f>W229/R229</f>
        <v>0.29713209971884824</v>
      </c>
      <c r="Y229" s="42"/>
    </row>
    <row r="230" spans="1:25" s="42" customFormat="1" ht="9" customHeight="1" x14ac:dyDescent="0.2">
      <c r="A230" s="102"/>
      <c r="B230" s="66"/>
      <c r="C230" s="67"/>
      <c r="D230" s="68"/>
      <c r="E230" s="69"/>
      <c r="F230" s="70"/>
      <c r="G230" s="71"/>
      <c r="H230" s="67"/>
      <c r="I230" s="72"/>
      <c r="J230" s="73"/>
      <c r="K230" s="75"/>
      <c r="L230" s="75"/>
      <c r="M230" s="75"/>
      <c r="N230" s="75"/>
      <c r="O230" s="75"/>
      <c r="P230" s="75"/>
      <c r="Q230" s="75"/>
      <c r="R230" s="75"/>
      <c r="S230" s="75"/>
      <c r="T230" s="76"/>
      <c r="U230" s="75"/>
      <c r="V230" s="76"/>
      <c r="W230" s="75"/>
      <c r="X230" s="77"/>
    </row>
    <row r="231" spans="1:25" s="50" customFormat="1" ht="39" customHeight="1" x14ac:dyDescent="0.2">
      <c r="A231" s="98" t="s">
        <v>130</v>
      </c>
      <c r="B231" s="161" t="s">
        <v>131</v>
      </c>
      <c r="C231" s="162"/>
      <c r="D231" s="79" t="s">
        <v>204</v>
      </c>
      <c r="E231" s="80" t="s">
        <v>73</v>
      </c>
      <c r="F231" s="161" t="s">
        <v>205</v>
      </c>
      <c r="G231" s="163"/>
      <c r="H231" s="163"/>
      <c r="I231" s="163"/>
      <c r="J231" s="162"/>
      <c r="K231" s="81">
        <f>SUM(K232:K232)</f>
        <v>423202</v>
      </c>
      <c r="L231" s="81">
        <f t="shared" ref="L231:S231" si="135">SUM(L232:L232)</f>
        <v>0</v>
      </c>
      <c r="M231" s="81">
        <f t="shared" si="135"/>
        <v>0</v>
      </c>
      <c r="N231" s="81">
        <f>SUM(N232:N232)</f>
        <v>423202</v>
      </c>
      <c r="O231" s="81">
        <f t="shared" si="135"/>
        <v>0</v>
      </c>
      <c r="P231" s="81">
        <f t="shared" si="135"/>
        <v>0</v>
      </c>
      <c r="Q231" s="81">
        <f t="shared" si="135"/>
        <v>0</v>
      </c>
      <c r="R231" s="81">
        <f t="shared" si="135"/>
        <v>423202</v>
      </c>
      <c r="S231" s="81">
        <f t="shared" si="135"/>
        <v>112444.51000000001</v>
      </c>
      <c r="T231" s="82">
        <f>S231/R231</f>
        <v>0.26569938232806084</v>
      </c>
      <c r="U231" s="81">
        <f>SUM(U232:U232)</f>
        <v>86675.39</v>
      </c>
      <c r="V231" s="82">
        <f>U231/R231</f>
        <v>0.20480855477998686</v>
      </c>
      <c r="W231" s="81">
        <f>SUM(W232:W232)</f>
        <v>86675.39</v>
      </c>
      <c r="X231" s="83">
        <f>W231/R231</f>
        <v>0.20480855477998686</v>
      </c>
      <c r="Y231" s="49"/>
    </row>
    <row r="232" spans="1:25" s="64" customFormat="1" ht="39" customHeight="1" x14ac:dyDescent="0.2">
      <c r="A232" s="91" t="s">
        <v>130</v>
      </c>
      <c r="B232" s="52" t="s">
        <v>131</v>
      </c>
      <c r="C232" s="53" t="s">
        <v>75</v>
      </c>
      <c r="D232" s="54" t="s">
        <v>204</v>
      </c>
      <c r="E232" s="55" t="s">
        <v>73</v>
      </c>
      <c r="F232" s="56" t="s">
        <v>79</v>
      </c>
      <c r="G232" s="57">
        <v>1</v>
      </c>
      <c r="H232" s="53" t="s">
        <v>134</v>
      </c>
      <c r="I232" s="97" t="s">
        <v>135</v>
      </c>
      <c r="J232" s="59">
        <v>3</v>
      </c>
      <c r="K232" s="60">
        <v>423202</v>
      </c>
      <c r="L232" s="61">
        <v>0</v>
      </c>
      <c r="M232" s="61">
        <v>0</v>
      </c>
      <c r="N232" s="60">
        <f>K232+L232-M232</f>
        <v>423202</v>
      </c>
      <c r="O232" s="61">
        <v>0</v>
      </c>
      <c r="P232" s="61">
        <v>0</v>
      </c>
      <c r="Q232" s="61">
        <v>0</v>
      </c>
      <c r="R232" s="60">
        <f>N232-O232+P232+Q232</f>
        <v>423202</v>
      </c>
      <c r="S232" s="61">
        <f>38737.38+8918.03+15000+15000+34789.1</f>
        <v>112444.51000000001</v>
      </c>
      <c r="T232" s="62">
        <f>S232/R232</f>
        <v>0.26569938232806084</v>
      </c>
      <c r="U232" s="61">
        <f>7737.38+15610.41+8918.03+17696.4+36713.17</f>
        <v>86675.39</v>
      </c>
      <c r="V232" s="62">
        <f>U232/R232</f>
        <v>0.20480855477998686</v>
      </c>
      <c r="W232" s="61">
        <f>23347.79+8918.03+17696.4+36713.17</f>
        <v>86675.39</v>
      </c>
      <c r="X232" s="63">
        <f>W232/R232</f>
        <v>0.20480855477998686</v>
      </c>
      <c r="Y232" s="42"/>
    </row>
    <row r="233" spans="1:25" s="42" customFormat="1" ht="9" customHeight="1" x14ac:dyDescent="0.2">
      <c r="A233" s="65"/>
      <c r="B233" s="66"/>
      <c r="C233" s="67"/>
      <c r="D233" s="68"/>
      <c r="E233" s="69"/>
      <c r="F233" s="70"/>
      <c r="G233" s="71"/>
      <c r="H233" s="67"/>
      <c r="I233" s="72"/>
      <c r="J233" s="73"/>
      <c r="K233" s="74"/>
      <c r="L233" s="75"/>
      <c r="M233" s="75"/>
      <c r="N233" s="74"/>
      <c r="O233" s="75"/>
      <c r="P233" s="75"/>
      <c r="Q233" s="75"/>
      <c r="R233" s="74"/>
      <c r="S233" s="75"/>
      <c r="T233" s="76"/>
      <c r="U233" s="75"/>
      <c r="V233" s="76"/>
      <c r="W233" s="75"/>
      <c r="X233" s="77"/>
    </row>
    <row r="234" spans="1:25" s="50" customFormat="1" ht="39" customHeight="1" x14ac:dyDescent="0.2">
      <c r="A234" s="98" t="s">
        <v>130</v>
      </c>
      <c r="B234" s="161" t="s">
        <v>131</v>
      </c>
      <c r="C234" s="162"/>
      <c r="D234" s="79" t="s">
        <v>206</v>
      </c>
      <c r="E234" s="80" t="s">
        <v>73</v>
      </c>
      <c r="F234" s="161" t="s">
        <v>81</v>
      </c>
      <c r="G234" s="163"/>
      <c r="H234" s="163"/>
      <c r="I234" s="163"/>
      <c r="J234" s="162"/>
      <c r="K234" s="81">
        <f>SUM(K235:K235)</f>
        <v>396117</v>
      </c>
      <c r="L234" s="81">
        <f t="shared" ref="L234:S234" si="136">SUM(L235:L235)</f>
        <v>0</v>
      </c>
      <c r="M234" s="81">
        <f t="shared" si="136"/>
        <v>0</v>
      </c>
      <c r="N234" s="81">
        <f>SUM(N235:N235)</f>
        <v>396117</v>
      </c>
      <c r="O234" s="81">
        <f t="shared" si="136"/>
        <v>0</v>
      </c>
      <c r="P234" s="81">
        <f t="shared" si="136"/>
        <v>0</v>
      </c>
      <c r="Q234" s="81">
        <f t="shared" si="136"/>
        <v>0</v>
      </c>
      <c r="R234" s="81">
        <f t="shared" si="136"/>
        <v>396117</v>
      </c>
      <c r="S234" s="81">
        <f t="shared" si="136"/>
        <v>136386.56</v>
      </c>
      <c r="T234" s="82">
        <f>S234/R234</f>
        <v>0.34430877745716543</v>
      </c>
      <c r="U234" s="81">
        <f>SUM(U235:U235)</f>
        <v>103373.94</v>
      </c>
      <c r="V234" s="82">
        <f>U234/R234</f>
        <v>0.26096819878975153</v>
      </c>
      <c r="W234" s="81">
        <f>SUM(W235:W235)</f>
        <v>103373.94</v>
      </c>
      <c r="X234" s="83">
        <f>W234/R234</f>
        <v>0.26096819878975153</v>
      </c>
      <c r="Y234" s="49"/>
    </row>
    <row r="235" spans="1:25" s="64" customFormat="1" ht="39" customHeight="1" x14ac:dyDescent="0.2">
      <c r="A235" s="91" t="s">
        <v>130</v>
      </c>
      <c r="B235" s="52" t="s">
        <v>131</v>
      </c>
      <c r="C235" s="53" t="s">
        <v>75</v>
      </c>
      <c r="D235" s="54" t="s">
        <v>206</v>
      </c>
      <c r="E235" s="55" t="s">
        <v>73</v>
      </c>
      <c r="F235" s="56" t="s">
        <v>207</v>
      </c>
      <c r="G235" s="57">
        <v>1</v>
      </c>
      <c r="H235" s="53" t="s">
        <v>134</v>
      </c>
      <c r="I235" s="97" t="s">
        <v>135</v>
      </c>
      <c r="J235" s="59">
        <v>3</v>
      </c>
      <c r="K235" s="60">
        <v>396117</v>
      </c>
      <c r="L235" s="61">
        <v>0</v>
      </c>
      <c r="M235" s="61">
        <v>0</v>
      </c>
      <c r="N235" s="60">
        <f>K235+L235-M235</f>
        <v>396117</v>
      </c>
      <c r="O235" s="61">
        <v>0</v>
      </c>
      <c r="P235" s="61">
        <v>0</v>
      </c>
      <c r="Q235" s="61">
        <v>0</v>
      </c>
      <c r="R235" s="60">
        <f>N235-O235+P235+Q235</f>
        <v>396117</v>
      </c>
      <c r="S235" s="61">
        <f>52820.56+2098.36+35000+35000+11467.64</f>
        <v>136386.56</v>
      </c>
      <c r="T235" s="62">
        <f>S235/R235</f>
        <v>0.34430877745716543</v>
      </c>
      <c r="U235" s="61">
        <f>1820.56+32452.46+2098.36+33622.23+33380.33</f>
        <v>103373.94</v>
      </c>
      <c r="V235" s="62">
        <f>U235/R235</f>
        <v>0.26096819878975153</v>
      </c>
      <c r="W235" s="61">
        <f>34273.02+2098.36+33622.23+33380.33</f>
        <v>103373.94</v>
      </c>
      <c r="X235" s="63">
        <f>W235/R235</f>
        <v>0.26096819878975153</v>
      </c>
      <c r="Y235" s="42"/>
    </row>
    <row r="236" spans="1:25" s="42" customFormat="1" ht="9" customHeight="1" x14ac:dyDescent="0.2">
      <c r="A236" s="102"/>
      <c r="B236" s="66"/>
      <c r="C236" s="67"/>
      <c r="D236" s="68"/>
      <c r="E236" s="69"/>
      <c r="F236" s="70"/>
      <c r="G236" s="71"/>
      <c r="H236" s="67"/>
      <c r="I236" s="72"/>
      <c r="J236" s="73"/>
      <c r="K236" s="75"/>
      <c r="L236" s="75"/>
      <c r="M236" s="75"/>
      <c r="N236" s="75"/>
      <c r="O236" s="75"/>
      <c r="P236" s="75"/>
      <c r="Q236" s="75"/>
      <c r="R236" s="75"/>
      <c r="S236" s="75"/>
      <c r="T236" s="76"/>
      <c r="U236" s="75"/>
      <c r="V236" s="76"/>
      <c r="W236" s="75"/>
      <c r="X236" s="77"/>
    </row>
    <row r="237" spans="1:25" s="50" customFormat="1" ht="39" customHeight="1" x14ac:dyDescent="0.2">
      <c r="A237" s="98" t="s">
        <v>130</v>
      </c>
      <c r="B237" s="161" t="s">
        <v>131</v>
      </c>
      <c r="C237" s="162"/>
      <c r="D237" s="79" t="s">
        <v>208</v>
      </c>
      <c r="E237" s="80" t="s">
        <v>73</v>
      </c>
      <c r="F237" s="161" t="s">
        <v>209</v>
      </c>
      <c r="G237" s="163"/>
      <c r="H237" s="163"/>
      <c r="I237" s="163"/>
      <c r="J237" s="162"/>
      <c r="K237" s="81">
        <f>SUM(K238:K238)</f>
        <v>7695550</v>
      </c>
      <c r="L237" s="81">
        <f t="shared" ref="L237:S237" si="137">SUM(L238:L238)</f>
        <v>0</v>
      </c>
      <c r="M237" s="81">
        <f t="shared" si="137"/>
        <v>0</v>
      </c>
      <c r="N237" s="81">
        <f>SUM(N238:N238)</f>
        <v>7695550</v>
      </c>
      <c r="O237" s="81">
        <f t="shared" si="137"/>
        <v>0</v>
      </c>
      <c r="P237" s="81">
        <f t="shared" si="137"/>
        <v>0</v>
      </c>
      <c r="Q237" s="81">
        <f t="shared" si="137"/>
        <v>0</v>
      </c>
      <c r="R237" s="81">
        <f t="shared" si="137"/>
        <v>7695550</v>
      </c>
      <c r="S237" s="81">
        <f t="shared" si="137"/>
        <v>2121959.61</v>
      </c>
      <c r="T237" s="82">
        <f>S237/R237</f>
        <v>0.27573852551149691</v>
      </c>
      <c r="U237" s="81">
        <f>SUM(U238:U238)</f>
        <v>1764729.19</v>
      </c>
      <c r="V237" s="82">
        <f>U237/R237</f>
        <v>0.22931813710521015</v>
      </c>
      <c r="W237" s="81">
        <f>SUM(W238:W238)</f>
        <v>1764729.19</v>
      </c>
      <c r="X237" s="83">
        <f>W237/R237</f>
        <v>0.22931813710521015</v>
      </c>
      <c r="Y237" s="49"/>
    </row>
    <row r="238" spans="1:25" s="64" customFormat="1" ht="39" customHeight="1" x14ac:dyDescent="0.2">
      <c r="A238" s="91" t="s">
        <v>130</v>
      </c>
      <c r="B238" s="52" t="s">
        <v>131</v>
      </c>
      <c r="C238" s="53" t="s">
        <v>75</v>
      </c>
      <c r="D238" s="54" t="s">
        <v>208</v>
      </c>
      <c r="E238" s="55" t="s">
        <v>73</v>
      </c>
      <c r="F238" s="56" t="s">
        <v>209</v>
      </c>
      <c r="G238" s="57">
        <v>1</v>
      </c>
      <c r="H238" s="53" t="s">
        <v>134</v>
      </c>
      <c r="I238" s="97" t="s">
        <v>135</v>
      </c>
      <c r="J238" s="59">
        <v>3</v>
      </c>
      <c r="K238" s="60">
        <v>7695550</v>
      </c>
      <c r="L238" s="61">
        <v>0</v>
      </c>
      <c r="M238" s="61">
        <v>0</v>
      </c>
      <c r="N238" s="60">
        <f>K238+L238-M238</f>
        <v>7695550</v>
      </c>
      <c r="O238" s="61">
        <v>0</v>
      </c>
      <c r="P238" s="61">
        <v>0</v>
      </c>
      <c r="Q238" s="61">
        <v>0</v>
      </c>
      <c r="R238" s="60">
        <f>N238-O238+P238+Q238</f>
        <v>7695550</v>
      </c>
      <c r="S238" s="61">
        <f>438669.27+431171.71+535328.44+516270.1+200520.09</f>
        <v>2121959.61</v>
      </c>
      <c r="T238" s="62">
        <f>S238/R238</f>
        <v>0.27573852551149691</v>
      </c>
      <c r="U238" s="61">
        <f>38523.39+414777.27+687999.85+279949.95+343478.73</f>
        <v>1764729.19</v>
      </c>
      <c r="V238" s="62">
        <f t="shared" ref="V238" si="138">U238/R238</f>
        <v>0.22931813710521015</v>
      </c>
      <c r="W238" s="61">
        <f>23667.76+363519.22+596392.01+377114.87+404035.33</f>
        <v>1764729.19</v>
      </c>
      <c r="X238" s="63">
        <f>W238/R238</f>
        <v>0.22931813710521015</v>
      </c>
      <c r="Y238" s="42"/>
    </row>
    <row r="239" spans="1:25" s="42" customFormat="1" ht="9" customHeight="1" x14ac:dyDescent="0.2">
      <c r="A239" s="65"/>
      <c r="B239" s="66"/>
      <c r="C239" s="67"/>
      <c r="D239" s="68"/>
      <c r="E239" s="69"/>
      <c r="F239" s="70"/>
      <c r="G239" s="71"/>
      <c r="H239" s="67"/>
      <c r="I239" s="72"/>
      <c r="J239" s="73"/>
      <c r="K239" s="74"/>
      <c r="L239" s="75"/>
      <c r="M239" s="75"/>
      <c r="N239" s="74"/>
      <c r="O239" s="75"/>
      <c r="P239" s="75"/>
      <c r="Q239" s="75"/>
      <c r="R239" s="74"/>
      <c r="S239" s="75"/>
      <c r="T239" s="76"/>
      <c r="U239" s="75"/>
      <c r="V239" s="76"/>
      <c r="W239" s="75"/>
      <c r="X239" s="77"/>
    </row>
    <row r="240" spans="1:25" s="50" customFormat="1" ht="39" customHeight="1" x14ac:dyDescent="0.2">
      <c r="A240" s="98" t="s">
        <v>130</v>
      </c>
      <c r="B240" s="161" t="s">
        <v>131</v>
      </c>
      <c r="C240" s="162"/>
      <c r="D240" s="79" t="s">
        <v>210</v>
      </c>
      <c r="E240" s="80" t="s">
        <v>73</v>
      </c>
      <c r="F240" s="161" t="s">
        <v>91</v>
      </c>
      <c r="G240" s="163"/>
      <c r="H240" s="163"/>
      <c r="I240" s="163"/>
      <c r="J240" s="162"/>
      <c r="K240" s="81">
        <f>SUM(K241:K242)</f>
        <v>14824969</v>
      </c>
      <c r="L240" s="81">
        <f t="shared" ref="L240:S240" si="139">SUM(L241:L242)</f>
        <v>4926776</v>
      </c>
      <c r="M240" s="81">
        <f t="shared" si="139"/>
        <v>1046850</v>
      </c>
      <c r="N240" s="81">
        <f t="shared" si="139"/>
        <v>18704895</v>
      </c>
      <c r="O240" s="81">
        <f t="shared" si="139"/>
        <v>0</v>
      </c>
      <c r="P240" s="81">
        <f t="shared" si="139"/>
        <v>0</v>
      </c>
      <c r="Q240" s="81">
        <f t="shared" si="139"/>
        <v>-471923.67</v>
      </c>
      <c r="R240" s="81">
        <f t="shared" si="139"/>
        <v>18232971.329999998</v>
      </c>
      <c r="S240" s="81">
        <f t="shared" si="139"/>
        <v>5884443.2300000004</v>
      </c>
      <c r="T240" s="82">
        <f>S240/R240</f>
        <v>0.32273638363692864</v>
      </c>
      <c r="U240" s="81">
        <f>SUM(U241:U242)</f>
        <v>5109192.6900000004</v>
      </c>
      <c r="V240" s="82">
        <f>U240/R240</f>
        <v>0.28021722831283591</v>
      </c>
      <c r="W240" s="81">
        <f>SUM(W241:W242)</f>
        <v>5109192.6899999995</v>
      </c>
      <c r="X240" s="83">
        <f>W240/R240</f>
        <v>0.28021722831283585</v>
      </c>
      <c r="Y240" s="49"/>
    </row>
    <row r="241" spans="1:25" s="64" customFormat="1" ht="39" customHeight="1" x14ac:dyDescent="0.2">
      <c r="A241" s="91" t="s">
        <v>130</v>
      </c>
      <c r="B241" s="52" t="s">
        <v>131</v>
      </c>
      <c r="C241" s="53" t="s">
        <v>75</v>
      </c>
      <c r="D241" s="54" t="s">
        <v>210</v>
      </c>
      <c r="E241" s="55" t="s">
        <v>73</v>
      </c>
      <c r="F241" s="56" t="s">
        <v>211</v>
      </c>
      <c r="G241" s="57">
        <v>1</v>
      </c>
      <c r="H241" s="53" t="s">
        <v>134</v>
      </c>
      <c r="I241" s="97" t="s">
        <v>135</v>
      </c>
      <c r="J241" s="59">
        <v>3</v>
      </c>
      <c r="K241" s="60">
        <v>14824969</v>
      </c>
      <c r="L241" s="61">
        <f>1046850</f>
        <v>1046850</v>
      </c>
      <c r="M241" s="61">
        <v>0</v>
      </c>
      <c r="N241" s="60">
        <f>K241+L241-M241</f>
        <v>15871819</v>
      </c>
      <c r="O241" s="61">
        <v>0</v>
      </c>
      <c r="P241" s="61">
        <v>0</v>
      </c>
      <c r="Q241" s="61">
        <f>-125808.99-145792.72-108736.17-91585.79</f>
        <v>-471923.67</v>
      </c>
      <c r="R241" s="60">
        <f>N241-O241+P241+Q241</f>
        <v>15399895.33</v>
      </c>
      <c r="S241" s="61">
        <f>865940.9+1483941.7+983977.73+953982.22+549751.02</f>
        <v>4837593.57</v>
      </c>
      <c r="T241" s="62">
        <f>S241/R241</f>
        <v>0.31413158767229105</v>
      </c>
      <c r="U241" s="61">
        <f>81517.96+1778854.61+1114564.88+340965.75+746439.83</f>
        <v>4062343.0300000003</v>
      </c>
      <c r="V241" s="62">
        <f>U241/R241</f>
        <v>0.26379030135914566</v>
      </c>
      <c r="W241" s="61">
        <f>48761.38+1744527.23+1069256.17+396221.35+803576.9</f>
        <v>4062343.03</v>
      </c>
      <c r="X241" s="63">
        <f>W241/R241</f>
        <v>0.26379030135914566</v>
      </c>
      <c r="Y241" s="42"/>
    </row>
    <row r="242" spans="1:25" s="64" customFormat="1" ht="39" customHeight="1" x14ac:dyDescent="0.2">
      <c r="A242" s="91" t="s">
        <v>130</v>
      </c>
      <c r="B242" s="52" t="s">
        <v>131</v>
      </c>
      <c r="C242" s="53" t="s">
        <v>75</v>
      </c>
      <c r="D242" s="54" t="s">
        <v>210</v>
      </c>
      <c r="E242" s="55" t="s">
        <v>73</v>
      </c>
      <c r="F242" s="56" t="s">
        <v>211</v>
      </c>
      <c r="G242" s="57">
        <v>1</v>
      </c>
      <c r="H242" s="99" t="s">
        <v>142</v>
      </c>
      <c r="I242" s="101" t="s">
        <v>143</v>
      </c>
      <c r="J242" s="59">
        <v>3</v>
      </c>
      <c r="K242" s="60">
        <v>0</v>
      </c>
      <c r="L242" s="61">
        <f>3879926</f>
        <v>3879926</v>
      </c>
      <c r="M242" s="61">
        <v>1046850</v>
      </c>
      <c r="N242" s="60">
        <f>K242+L242-M242</f>
        <v>2833076</v>
      </c>
      <c r="O242" s="61">
        <v>0</v>
      </c>
      <c r="P242" s="61">
        <v>0</v>
      </c>
      <c r="Q242" s="61">
        <v>0</v>
      </c>
      <c r="R242" s="60">
        <f>N242-O242+P242+Q242</f>
        <v>2833076</v>
      </c>
      <c r="S242" s="61">
        <f>1046849.66</f>
        <v>1046849.66</v>
      </c>
      <c r="T242" s="62">
        <f>S242/R242</f>
        <v>0.36950991078248518</v>
      </c>
      <c r="U242" s="61">
        <f>1046849.66</f>
        <v>1046849.66</v>
      </c>
      <c r="V242" s="62">
        <f>U242/R242</f>
        <v>0.36950991078248518</v>
      </c>
      <c r="W242" s="61">
        <f>1046849.66</f>
        <v>1046849.66</v>
      </c>
      <c r="X242" s="63">
        <f>W242/R242</f>
        <v>0.36950991078248518</v>
      </c>
      <c r="Y242" s="42"/>
    </row>
    <row r="243" spans="1:25" s="42" customFormat="1" ht="9" customHeight="1" x14ac:dyDescent="0.2">
      <c r="A243" s="102"/>
      <c r="B243" s="66"/>
      <c r="C243" s="67"/>
      <c r="D243" s="68"/>
      <c r="E243" s="69"/>
      <c r="F243" s="70"/>
      <c r="G243" s="71"/>
      <c r="H243" s="67"/>
      <c r="I243" s="72"/>
      <c r="J243" s="73"/>
      <c r="K243" s="75"/>
      <c r="L243" s="75"/>
      <c r="M243" s="75"/>
      <c r="N243" s="75"/>
      <c r="O243" s="75"/>
      <c r="P243" s="75"/>
      <c r="Q243" s="75"/>
      <c r="R243" s="75"/>
      <c r="S243" s="75"/>
      <c r="T243" s="76"/>
      <c r="U243" s="75"/>
      <c r="V243" s="76"/>
      <c r="W243" s="75"/>
      <c r="X243" s="77"/>
    </row>
    <row r="244" spans="1:25" s="50" customFormat="1" ht="39" customHeight="1" x14ac:dyDescent="0.2">
      <c r="A244" s="98" t="s">
        <v>130</v>
      </c>
      <c r="B244" s="161" t="s">
        <v>131</v>
      </c>
      <c r="C244" s="162"/>
      <c r="D244" s="79" t="s">
        <v>212</v>
      </c>
      <c r="E244" s="80" t="s">
        <v>73</v>
      </c>
      <c r="F244" s="161" t="s">
        <v>88</v>
      </c>
      <c r="G244" s="163"/>
      <c r="H244" s="163"/>
      <c r="I244" s="163"/>
      <c r="J244" s="162"/>
      <c r="K244" s="81">
        <f>K245</f>
        <v>58740</v>
      </c>
      <c r="L244" s="81">
        <f t="shared" ref="L244:S244" si="140">L245</f>
        <v>0</v>
      </c>
      <c r="M244" s="81">
        <f t="shared" si="140"/>
        <v>0</v>
      </c>
      <c r="N244" s="81">
        <f t="shared" si="140"/>
        <v>58740</v>
      </c>
      <c r="O244" s="81">
        <f t="shared" si="140"/>
        <v>0</v>
      </c>
      <c r="P244" s="81">
        <f t="shared" si="140"/>
        <v>0</v>
      </c>
      <c r="Q244" s="81">
        <f t="shared" si="140"/>
        <v>0</v>
      </c>
      <c r="R244" s="81">
        <f t="shared" si="140"/>
        <v>58740</v>
      </c>
      <c r="S244" s="81">
        <f t="shared" si="140"/>
        <v>1765.1999999999998</v>
      </c>
      <c r="T244" s="82">
        <f>S244/R244</f>
        <v>3.0051072522982631E-2</v>
      </c>
      <c r="U244" s="81">
        <f>U245</f>
        <v>1765.1999999999998</v>
      </c>
      <c r="V244" s="82">
        <f>U244/R244</f>
        <v>3.0051072522982631E-2</v>
      </c>
      <c r="W244" s="81">
        <f>W245</f>
        <v>1765.1999999999998</v>
      </c>
      <c r="X244" s="83">
        <f>W244/R244</f>
        <v>3.0051072522982631E-2</v>
      </c>
      <c r="Y244" s="49"/>
    </row>
    <row r="245" spans="1:25" s="64" customFormat="1" ht="39" customHeight="1" x14ac:dyDescent="0.2">
      <c r="A245" s="91" t="s">
        <v>130</v>
      </c>
      <c r="B245" s="52" t="s">
        <v>131</v>
      </c>
      <c r="C245" s="53" t="s">
        <v>75</v>
      </c>
      <c r="D245" s="54" t="s">
        <v>212</v>
      </c>
      <c r="E245" s="55" t="s">
        <v>73</v>
      </c>
      <c r="F245" s="56" t="s">
        <v>213</v>
      </c>
      <c r="G245" s="57">
        <v>1</v>
      </c>
      <c r="H245" s="53" t="s">
        <v>134</v>
      </c>
      <c r="I245" s="97" t="s">
        <v>135</v>
      </c>
      <c r="J245" s="59">
        <v>3</v>
      </c>
      <c r="K245" s="60">
        <v>58740</v>
      </c>
      <c r="L245" s="61">
        <v>0</v>
      </c>
      <c r="M245" s="61">
        <v>0</v>
      </c>
      <c r="N245" s="60">
        <f>K245+L245-M245</f>
        <v>58740</v>
      </c>
      <c r="O245" s="61">
        <v>0</v>
      </c>
      <c r="P245" s="61">
        <v>0</v>
      </c>
      <c r="Q245" s="61">
        <v>0</v>
      </c>
      <c r="R245" s="60">
        <f>N245-O245+P245+Q245</f>
        <v>58740</v>
      </c>
      <c r="S245" s="61">
        <f>524.59+1240.61</f>
        <v>1765.1999999999998</v>
      </c>
      <c r="T245" s="62">
        <f>S245/R245</f>
        <v>3.0051072522982631E-2</v>
      </c>
      <c r="U245" s="61">
        <f>524.59+1240.61</f>
        <v>1765.1999999999998</v>
      </c>
      <c r="V245" s="62">
        <f>U245/R245</f>
        <v>3.0051072522982631E-2</v>
      </c>
      <c r="W245" s="61">
        <f>524.59+1240.61</f>
        <v>1765.1999999999998</v>
      </c>
      <c r="X245" s="63">
        <f>W245/R245</f>
        <v>3.0051072522982631E-2</v>
      </c>
      <c r="Y245" s="42"/>
    </row>
    <row r="246" spans="1:25" s="42" customFormat="1" ht="9" customHeight="1" x14ac:dyDescent="0.2">
      <c r="A246" s="65"/>
      <c r="B246" s="66"/>
      <c r="C246" s="67"/>
      <c r="D246" s="68"/>
      <c r="E246" s="69"/>
      <c r="F246" s="70"/>
      <c r="G246" s="71"/>
      <c r="H246" s="67"/>
      <c r="I246" s="72"/>
      <c r="J246" s="73"/>
      <c r="K246" s="74"/>
      <c r="L246" s="75"/>
      <c r="M246" s="75"/>
      <c r="N246" s="74"/>
      <c r="O246" s="75"/>
      <c r="P246" s="75"/>
      <c r="Q246" s="75"/>
      <c r="R246" s="74"/>
      <c r="S246" s="75"/>
      <c r="T246" s="76"/>
      <c r="U246" s="75"/>
      <c r="V246" s="76"/>
      <c r="W246" s="75"/>
      <c r="X246" s="77"/>
    </row>
    <row r="247" spans="1:25" s="50" customFormat="1" ht="39" customHeight="1" x14ac:dyDescent="0.2">
      <c r="A247" s="98" t="s">
        <v>130</v>
      </c>
      <c r="B247" s="161" t="s">
        <v>131</v>
      </c>
      <c r="C247" s="162"/>
      <c r="D247" s="79" t="s">
        <v>214</v>
      </c>
      <c r="E247" s="80" t="s">
        <v>73</v>
      </c>
      <c r="F247" s="161" t="s">
        <v>215</v>
      </c>
      <c r="G247" s="163"/>
      <c r="H247" s="163"/>
      <c r="I247" s="163"/>
      <c r="J247" s="162"/>
      <c r="K247" s="81">
        <f>SUM(K248:K249)</f>
        <v>102000</v>
      </c>
      <c r="L247" s="81">
        <f t="shared" ref="L247:S247" si="141">SUM(L248:L249)</f>
        <v>0</v>
      </c>
      <c r="M247" s="81">
        <f t="shared" si="141"/>
        <v>0</v>
      </c>
      <c r="N247" s="81">
        <f t="shared" si="141"/>
        <v>102000</v>
      </c>
      <c r="O247" s="81">
        <f t="shared" si="141"/>
        <v>0</v>
      </c>
      <c r="P247" s="81">
        <f t="shared" si="141"/>
        <v>0</v>
      </c>
      <c r="Q247" s="81">
        <f t="shared" si="141"/>
        <v>0</v>
      </c>
      <c r="R247" s="81">
        <f t="shared" si="141"/>
        <v>102000</v>
      </c>
      <c r="S247" s="81">
        <f t="shared" si="141"/>
        <v>5500</v>
      </c>
      <c r="T247" s="82">
        <f>S247/R247</f>
        <v>5.3921568627450983E-2</v>
      </c>
      <c r="U247" s="81">
        <f>SUM(U248:U249)</f>
        <v>5500</v>
      </c>
      <c r="V247" s="82">
        <f>U247/R247</f>
        <v>5.3921568627450983E-2</v>
      </c>
      <c r="W247" s="81">
        <f>SUM(W248:W249)</f>
        <v>5500</v>
      </c>
      <c r="X247" s="83">
        <f>W247/R247</f>
        <v>5.3921568627450983E-2</v>
      </c>
      <c r="Y247" s="49"/>
    </row>
    <row r="248" spans="1:25" s="64" customFormat="1" ht="39" customHeight="1" x14ac:dyDescent="0.2">
      <c r="A248" s="91" t="s">
        <v>130</v>
      </c>
      <c r="B248" s="52" t="s">
        <v>131</v>
      </c>
      <c r="C248" s="53" t="s">
        <v>75</v>
      </c>
      <c r="D248" s="54" t="s">
        <v>214</v>
      </c>
      <c r="E248" s="55" t="s">
        <v>73</v>
      </c>
      <c r="F248" s="56" t="s">
        <v>215</v>
      </c>
      <c r="G248" s="57">
        <v>1</v>
      </c>
      <c r="H248" s="53" t="s">
        <v>52</v>
      </c>
      <c r="I248" s="58" t="s">
        <v>53</v>
      </c>
      <c r="J248" s="59">
        <v>4</v>
      </c>
      <c r="K248" s="60">
        <v>20000</v>
      </c>
      <c r="L248" s="61">
        <v>0</v>
      </c>
      <c r="M248" s="61">
        <v>0</v>
      </c>
      <c r="N248" s="60">
        <f>K248+L248-M248</f>
        <v>20000</v>
      </c>
      <c r="O248" s="61">
        <v>0</v>
      </c>
      <c r="P248" s="61">
        <v>0</v>
      </c>
      <c r="Q248" s="61">
        <v>0</v>
      </c>
      <c r="R248" s="60">
        <f>N248-O248+P248+Q248</f>
        <v>20000</v>
      </c>
      <c r="S248" s="61">
        <v>0</v>
      </c>
      <c r="T248" s="62">
        <f t="shared" ref="T248:T249" si="142">S248/R248</f>
        <v>0</v>
      </c>
      <c r="U248" s="61">
        <v>0</v>
      </c>
      <c r="V248" s="62">
        <f t="shared" ref="V248:V249" si="143">U248/R248</f>
        <v>0</v>
      </c>
      <c r="W248" s="61">
        <v>0</v>
      </c>
      <c r="X248" s="63">
        <f t="shared" ref="X248:X249" si="144">W248/R248</f>
        <v>0</v>
      </c>
      <c r="Y248" s="42"/>
    </row>
    <row r="249" spans="1:25" s="64" customFormat="1" ht="39" customHeight="1" x14ac:dyDescent="0.2">
      <c r="A249" s="91" t="s">
        <v>130</v>
      </c>
      <c r="B249" s="52" t="s">
        <v>131</v>
      </c>
      <c r="C249" s="53" t="s">
        <v>75</v>
      </c>
      <c r="D249" s="54" t="s">
        <v>214</v>
      </c>
      <c r="E249" s="55" t="s">
        <v>73</v>
      </c>
      <c r="F249" s="56" t="s">
        <v>215</v>
      </c>
      <c r="G249" s="57">
        <v>1</v>
      </c>
      <c r="H249" s="53" t="s">
        <v>134</v>
      </c>
      <c r="I249" s="97" t="s">
        <v>135</v>
      </c>
      <c r="J249" s="59">
        <v>3</v>
      </c>
      <c r="K249" s="60">
        <v>82000</v>
      </c>
      <c r="L249" s="61">
        <v>0</v>
      </c>
      <c r="M249" s="61">
        <v>0</v>
      </c>
      <c r="N249" s="60">
        <f>K249+L249-M249</f>
        <v>82000</v>
      </c>
      <c r="O249" s="61">
        <v>0</v>
      </c>
      <c r="P249" s="61">
        <v>0</v>
      </c>
      <c r="Q249" s="61">
        <v>0</v>
      </c>
      <c r="R249" s="60">
        <f>N249-O249+P249+Q249</f>
        <v>82000</v>
      </c>
      <c r="S249" s="61">
        <f>5500</f>
        <v>5500</v>
      </c>
      <c r="T249" s="62">
        <f t="shared" si="142"/>
        <v>6.7073170731707321E-2</v>
      </c>
      <c r="U249" s="61">
        <f>5500</f>
        <v>5500</v>
      </c>
      <c r="V249" s="62">
        <f t="shared" si="143"/>
        <v>6.7073170731707321E-2</v>
      </c>
      <c r="W249" s="61">
        <f>5500</f>
        <v>5500</v>
      </c>
      <c r="X249" s="63">
        <f t="shared" si="144"/>
        <v>6.7073170731707321E-2</v>
      </c>
      <c r="Y249" s="42"/>
    </row>
    <row r="250" spans="1:25" s="42" customFormat="1" ht="9" customHeight="1" x14ac:dyDescent="0.2">
      <c r="A250" s="102"/>
      <c r="B250" s="66"/>
      <c r="C250" s="67"/>
      <c r="D250" s="68"/>
      <c r="E250" s="69"/>
      <c r="F250" s="70"/>
      <c r="G250" s="71"/>
      <c r="H250" s="67"/>
      <c r="I250" s="72"/>
      <c r="J250" s="73"/>
      <c r="K250" s="75"/>
      <c r="L250" s="75"/>
      <c r="M250" s="75"/>
      <c r="N250" s="75"/>
      <c r="O250" s="75"/>
      <c r="P250" s="75"/>
      <c r="Q250" s="75"/>
      <c r="R250" s="75"/>
      <c r="S250" s="75"/>
      <c r="T250" s="76"/>
      <c r="U250" s="75"/>
      <c r="V250" s="76"/>
      <c r="W250" s="75"/>
      <c r="X250" s="77"/>
    </row>
    <row r="251" spans="1:25" s="50" customFormat="1" ht="39" customHeight="1" x14ac:dyDescent="0.2">
      <c r="A251" s="98" t="s">
        <v>130</v>
      </c>
      <c r="B251" s="161" t="s">
        <v>131</v>
      </c>
      <c r="C251" s="162"/>
      <c r="D251" s="79" t="s">
        <v>216</v>
      </c>
      <c r="E251" s="80" t="s">
        <v>73</v>
      </c>
      <c r="F251" s="161" t="s">
        <v>217</v>
      </c>
      <c r="G251" s="163"/>
      <c r="H251" s="163"/>
      <c r="I251" s="163"/>
      <c r="J251" s="162"/>
      <c r="K251" s="81">
        <f>SUM(K252:K253)</f>
        <v>232465</v>
      </c>
      <c r="L251" s="81">
        <f t="shared" ref="L251:S251" si="145">SUM(L252:L253)</f>
        <v>0</v>
      </c>
      <c r="M251" s="81">
        <f t="shared" si="145"/>
        <v>0</v>
      </c>
      <c r="N251" s="81">
        <f t="shared" si="145"/>
        <v>232465</v>
      </c>
      <c r="O251" s="81">
        <f t="shared" si="145"/>
        <v>0</v>
      </c>
      <c r="P251" s="81">
        <f t="shared" si="145"/>
        <v>0</v>
      </c>
      <c r="Q251" s="81">
        <f t="shared" si="145"/>
        <v>0</v>
      </c>
      <c r="R251" s="81">
        <f t="shared" si="145"/>
        <v>232465</v>
      </c>
      <c r="S251" s="81">
        <f t="shared" si="145"/>
        <v>54373.37</v>
      </c>
      <c r="T251" s="82">
        <f>S251/R251</f>
        <v>0.23389916761663046</v>
      </c>
      <c r="U251" s="81">
        <f>SUM(U252:U253)</f>
        <v>52333.85</v>
      </c>
      <c r="V251" s="82">
        <f>U251/R251</f>
        <v>0.22512571784999891</v>
      </c>
      <c r="W251" s="81">
        <f>SUM(W252:W253)</f>
        <v>52333.85</v>
      </c>
      <c r="X251" s="83">
        <f>W251/R251</f>
        <v>0.22512571784999891</v>
      </c>
      <c r="Y251" s="49"/>
    </row>
    <row r="252" spans="1:25" s="64" customFormat="1" ht="39" customHeight="1" x14ac:dyDescent="0.2">
      <c r="A252" s="91" t="s">
        <v>130</v>
      </c>
      <c r="B252" s="52" t="s">
        <v>131</v>
      </c>
      <c r="C252" s="53" t="s">
        <v>75</v>
      </c>
      <c r="D252" s="54" t="s">
        <v>216</v>
      </c>
      <c r="E252" s="55" t="s">
        <v>73</v>
      </c>
      <c r="F252" s="56" t="s">
        <v>217</v>
      </c>
      <c r="G252" s="57">
        <v>1</v>
      </c>
      <c r="H252" s="53" t="s">
        <v>52</v>
      </c>
      <c r="I252" s="58" t="s">
        <v>53</v>
      </c>
      <c r="J252" s="59">
        <v>4</v>
      </c>
      <c r="K252" s="60">
        <v>26000</v>
      </c>
      <c r="L252" s="61">
        <v>0</v>
      </c>
      <c r="M252" s="61">
        <v>0</v>
      </c>
      <c r="N252" s="60">
        <f>K252+L252-M252</f>
        <v>26000</v>
      </c>
      <c r="O252" s="61">
        <v>0</v>
      </c>
      <c r="P252" s="61">
        <v>0</v>
      </c>
      <c r="Q252" s="61">
        <v>0</v>
      </c>
      <c r="R252" s="60">
        <f>N252-O252+P252+Q252</f>
        <v>26000</v>
      </c>
      <c r="S252" s="61">
        <f>3370.62</f>
        <v>3370.62</v>
      </c>
      <c r="T252" s="62">
        <f t="shared" ref="T252:T253" si="146">S252/R252</f>
        <v>0.12963923076923076</v>
      </c>
      <c r="U252" s="61">
        <f>3212.85</f>
        <v>3212.85</v>
      </c>
      <c r="V252" s="62">
        <f t="shared" ref="V252:V253" si="147">U252/R252</f>
        <v>0.12357115384615384</v>
      </c>
      <c r="W252" s="61">
        <f>3212.85</f>
        <v>3212.85</v>
      </c>
      <c r="X252" s="63">
        <f t="shared" ref="X252:X253" si="148">W252/R252</f>
        <v>0.12357115384615384</v>
      </c>
      <c r="Y252" s="42"/>
    </row>
    <row r="253" spans="1:25" s="64" customFormat="1" ht="39" customHeight="1" x14ac:dyDescent="0.2">
      <c r="A253" s="91" t="s">
        <v>130</v>
      </c>
      <c r="B253" s="52" t="s">
        <v>131</v>
      </c>
      <c r="C253" s="53" t="s">
        <v>75</v>
      </c>
      <c r="D253" s="54" t="s">
        <v>216</v>
      </c>
      <c r="E253" s="55" t="s">
        <v>73</v>
      </c>
      <c r="F253" s="56" t="s">
        <v>217</v>
      </c>
      <c r="G253" s="57">
        <v>1</v>
      </c>
      <c r="H253" s="53" t="s">
        <v>134</v>
      </c>
      <c r="I253" s="97" t="s">
        <v>135</v>
      </c>
      <c r="J253" s="59">
        <v>3</v>
      </c>
      <c r="K253" s="60">
        <v>206465</v>
      </c>
      <c r="L253" s="61">
        <v>0</v>
      </c>
      <c r="M253" s="61">
        <v>0</v>
      </c>
      <c r="N253" s="60">
        <f>K253+L253-M253</f>
        <v>206465</v>
      </c>
      <c r="O253" s="61">
        <v>0</v>
      </c>
      <c r="P253" s="61">
        <v>0</v>
      </c>
      <c r="Q253" s="61">
        <v>0</v>
      </c>
      <c r="R253" s="60">
        <f>N253-O253+P253+Q253</f>
        <v>206465</v>
      </c>
      <c r="S253" s="61">
        <f>4830+12000+12000+11072.75+11100</f>
        <v>51002.75</v>
      </c>
      <c r="T253" s="62">
        <f t="shared" si="146"/>
        <v>0.24702855205482768</v>
      </c>
      <c r="U253" s="61">
        <f>4830+11072.75+11072.75+11072.75+11072.75</f>
        <v>49121</v>
      </c>
      <c r="V253" s="62">
        <f t="shared" si="147"/>
        <v>0.23791441648705591</v>
      </c>
      <c r="W253" s="61">
        <f>4830+11072.75+11072.75+11072.75+11072.75</f>
        <v>49121</v>
      </c>
      <c r="X253" s="63">
        <f t="shared" si="148"/>
        <v>0.23791441648705591</v>
      </c>
      <c r="Y253" s="42"/>
    </row>
    <row r="254" spans="1:25" s="42" customFormat="1" ht="9" customHeight="1" x14ac:dyDescent="0.2">
      <c r="A254" s="102"/>
      <c r="B254" s="66"/>
      <c r="C254" s="67"/>
      <c r="D254" s="68"/>
      <c r="E254" s="69"/>
      <c r="F254" s="70"/>
      <c r="G254" s="71"/>
      <c r="H254" s="67"/>
      <c r="I254" s="72"/>
      <c r="J254" s="73"/>
      <c r="K254" s="75"/>
      <c r="L254" s="75"/>
      <c r="M254" s="75"/>
      <c r="N254" s="75"/>
      <c r="O254" s="75"/>
      <c r="P254" s="75"/>
      <c r="Q254" s="75"/>
      <c r="R254" s="75"/>
      <c r="S254" s="75"/>
      <c r="T254" s="76"/>
      <c r="U254" s="75"/>
      <c r="V254" s="76"/>
      <c r="W254" s="75"/>
      <c r="X254" s="77"/>
    </row>
    <row r="255" spans="1:25" s="50" customFormat="1" ht="39" customHeight="1" x14ac:dyDescent="0.2">
      <c r="A255" s="98" t="s">
        <v>130</v>
      </c>
      <c r="B255" s="161" t="s">
        <v>131</v>
      </c>
      <c r="C255" s="162"/>
      <c r="D255" s="79" t="s">
        <v>218</v>
      </c>
      <c r="E255" s="80" t="s">
        <v>49</v>
      </c>
      <c r="F255" s="161" t="s">
        <v>219</v>
      </c>
      <c r="G255" s="163"/>
      <c r="H255" s="163"/>
      <c r="I255" s="163"/>
      <c r="J255" s="162"/>
      <c r="K255" s="81">
        <f>SUM(K256:K259)</f>
        <v>19596407</v>
      </c>
      <c r="L255" s="81">
        <f t="shared" ref="L255:S255" si="149">SUM(L256:L259)</f>
        <v>3484599.17</v>
      </c>
      <c r="M255" s="81">
        <f t="shared" si="149"/>
        <v>43919</v>
      </c>
      <c r="N255" s="81">
        <f t="shared" si="149"/>
        <v>23037087.169999998</v>
      </c>
      <c r="O255" s="81">
        <f t="shared" si="149"/>
        <v>0</v>
      </c>
      <c r="P255" s="81">
        <f t="shared" si="149"/>
        <v>0</v>
      </c>
      <c r="Q255" s="81">
        <f t="shared" si="149"/>
        <v>0</v>
      </c>
      <c r="R255" s="81">
        <f t="shared" si="149"/>
        <v>23037087.169999998</v>
      </c>
      <c r="S255" s="81">
        <f t="shared" si="149"/>
        <v>4757767.09</v>
      </c>
      <c r="T255" s="82">
        <f t="shared" ref="T255:T259" si="150">S255/R255</f>
        <v>0.20652641781013847</v>
      </c>
      <c r="U255" s="81">
        <f>SUM(U256:U259)</f>
        <v>3826848.88</v>
      </c>
      <c r="V255" s="82">
        <f>U255/R255</f>
        <v>0.16611687283900659</v>
      </c>
      <c r="W255" s="81">
        <f>SUM(W256:W259)</f>
        <v>3666162.29</v>
      </c>
      <c r="X255" s="83">
        <f>W255/R255</f>
        <v>0.15914174665164496</v>
      </c>
      <c r="Y255" s="49"/>
    </row>
    <row r="256" spans="1:25" s="64" customFormat="1" ht="39" customHeight="1" x14ac:dyDescent="0.2">
      <c r="A256" s="91" t="s">
        <v>130</v>
      </c>
      <c r="B256" s="52" t="s">
        <v>131</v>
      </c>
      <c r="C256" s="53" t="s">
        <v>220</v>
      </c>
      <c r="D256" s="54" t="s">
        <v>218</v>
      </c>
      <c r="E256" s="55" t="s">
        <v>49</v>
      </c>
      <c r="F256" s="56" t="s">
        <v>221</v>
      </c>
      <c r="G256" s="57">
        <v>1</v>
      </c>
      <c r="H256" s="53" t="s">
        <v>52</v>
      </c>
      <c r="I256" s="58" t="s">
        <v>53</v>
      </c>
      <c r="J256" s="59">
        <v>4</v>
      </c>
      <c r="K256" s="60">
        <v>300000</v>
      </c>
      <c r="L256" s="61">
        <v>0</v>
      </c>
      <c r="M256" s="61">
        <v>0</v>
      </c>
      <c r="N256" s="60">
        <f t="shared" ref="N256:N269" si="151">K256+L256-M256</f>
        <v>300000</v>
      </c>
      <c r="O256" s="61">
        <v>0</v>
      </c>
      <c r="P256" s="61">
        <v>0</v>
      </c>
      <c r="Q256" s="61">
        <v>0</v>
      </c>
      <c r="R256" s="60">
        <f t="shared" ref="R256:R283" si="152">N256-O256+P256+Q256</f>
        <v>300000</v>
      </c>
      <c r="S256" s="61">
        <f>55560-55560</f>
        <v>0</v>
      </c>
      <c r="T256" s="62">
        <f t="shared" si="150"/>
        <v>0</v>
      </c>
      <c r="U256" s="61">
        <v>0</v>
      </c>
      <c r="V256" s="62">
        <f t="shared" ref="V256:V321" si="153">U256/R256</f>
        <v>0</v>
      </c>
      <c r="W256" s="61">
        <v>0</v>
      </c>
      <c r="X256" s="63">
        <f t="shared" ref="X256:X279" si="154">W256/R256</f>
        <v>0</v>
      </c>
      <c r="Y256" s="42"/>
    </row>
    <row r="257" spans="1:25" s="64" customFormat="1" ht="39" customHeight="1" x14ac:dyDescent="0.2">
      <c r="A257" s="91" t="s">
        <v>130</v>
      </c>
      <c r="B257" s="52" t="s">
        <v>131</v>
      </c>
      <c r="C257" s="53" t="s">
        <v>220</v>
      </c>
      <c r="D257" s="54" t="s">
        <v>218</v>
      </c>
      <c r="E257" s="55" t="s">
        <v>49</v>
      </c>
      <c r="F257" s="56" t="s">
        <v>221</v>
      </c>
      <c r="G257" s="57">
        <v>1</v>
      </c>
      <c r="H257" s="53" t="s">
        <v>134</v>
      </c>
      <c r="I257" s="97" t="s">
        <v>135</v>
      </c>
      <c r="J257" s="59">
        <v>3</v>
      </c>
      <c r="K257" s="60">
        <v>19296407</v>
      </c>
      <c r="L257" s="61">
        <v>0</v>
      </c>
      <c r="M257" s="61">
        <f>43919</f>
        <v>43919</v>
      </c>
      <c r="N257" s="60">
        <f t="shared" si="151"/>
        <v>19252488</v>
      </c>
      <c r="O257" s="61">
        <v>0</v>
      </c>
      <c r="P257" s="61">
        <v>0</v>
      </c>
      <c r="Q257" s="61">
        <v>0</v>
      </c>
      <c r="R257" s="60">
        <f t="shared" si="152"/>
        <v>19252488</v>
      </c>
      <c r="S257" s="61">
        <f>1140383.77+216345.11+285984.62+1400626.78+1122796.81</f>
        <v>4166137.0900000003</v>
      </c>
      <c r="T257" s="62">
        <f t="shared" si="150"/>
        <v>0.21639473765676417</v>
      </c>
      <c r="U257" s="61">
        <f>115847.02+94841.36+1211714.39+1545892.99+266923.12</f>
        <v>3235218.88</v>
      </c>
      <c r="V257" s="62">
        <f>U257/R257</f>
        <v>0.16804159961039841</v>
      </c>
      <c r="W257" s="61">
        <f>105961.73+104726.65+1081444.31+904483.97+877915.63</f>
        <v>3074532.29</v>
      </c>
      <c r="X257" s="63">
        <f t="shared" si="154"/>
        <v>0.15969532301487477</v>
      </c>
      <c r="Y257" s="42"/>
    </row>
    <row r="258" spans="1:25" s="64" customFormat="1" ht="39" customHeight="1" x14ac:dyDescent="0.2">
      <c r="A258" s="91" t="s">
        <v>130</v>
      </c>
      <c r="B258" s="52" t="s">
        <v>131</v>
      </c>
      <c r="C258" s="53" t="s">
        <v>220</v>
      </c>
      <c r="D258" s="54" t="s">
        <v>218</v>
      </c>
      <c r="E258" s="55" t="s">
        <v>49</v>
      </c>
      <c r="F258" s="56" t="s">
        <v>221</v>
      </c>
      <c r="G258" s="57">
        <v>1</v>
      </c>
      <c r="H258" s="96" t="s">
        <v>136</v>
      </c>
      <c r="I258" s="97" t="s">
        <v>137</v>
      </c>
      <c r="J258" s="59">
        <v>4</v>
      </c>
      <c r="K258" s="60">
        <v>0</v>
      </c>
      <c r="L258" s="61">
        <f>3049.29</f>
        <v>3049.29</v>
      </c>
      <c r="M258" s="61">
        <v>0</v>
      </c>
      <c r="N258" s="60">
        <f t="shared" si="151"/>
        <v>3049.29</v>
      </c>
      <c r="O258" s="61">
        <v>0</v>
      </c>
      <c r="P258" s="61">
        <v>0</v>
      </c>
      <c r="Q258" s="61">
        <v>0</v>
      </c>
      <c r="R258" s="60">
        <f t="shared" si="152"/>
        <v>3049.29</v>
      </c>
      <c r="S258" s="61">
        <v>0</v>
      </c>
      <c r="T258" s="62">
        <f t="shared" si="150"/>
        <v>0</v>
      </c>
      <c r="U258" s="61">
        <v>0</v>
      </c>
      <c r="V258" s="62">
        <f t="shared" ref="V258:V259" si="155">U258/R258</f>
        <v>0</v>
      </c>
      <c r="W258" s="61">
        <v>0</v>
      </c>
      <c r="X258" s="63">
        <f t="shared" si="154"/>
        <v>0</v>
      </c>
      <c r="Y258" s="42"/>
    </row>
    <row r="259" spans="1:25" s="64" customFormat="1" ht="39" customHeight="1" x14ac:dyDescent="0.2">
      <c r="A259" s="91" t="s">
        <v>130</v>
      </c>
      <c r="B259" s="52" t="s">
        <v>131</v>
      </c>
      <c r="C259" s="53" t="s">
        <v>220</v>
      </c>
      <c r="D259" s="54" t="s">
        <v>218</v>
      </c>
      <c r="E259" s="55" t="s">
        <v>49</v>
      </c>
      <c r="F259" s="56" t="s">
        <v>221</v>
      </c>
      <c r="G259" s="57">
        <v>1</v>
      </c>
      <c r="H259" s="99" t="s">
        <v>142</v>
      </c>
      <c r="I259" s="101" t="s">
        <v>143</v>
      </c>
      <c r="J259" s="59">
        <v>4</v>
      </c>
      <c r="K259" s="60">
        <v>0</v>
      </c>
      <c r="L259" s="61">
        <f>3481549.88</f>
        <v>3481549.88</v>
      </c>
      <c r="M259" s="61">
        <v>0</v>
      </c>
      <c r="N259" s="60">
        <f t="shared" si="151"/>
        <v>3481549.88</v>
      </c>
      <c r="O259" s="61">
        <v>0</v>
      </c>
      <c r="P259" s="61">
        <v>0</v>
      </c>
      <c r="Q259" s="61">
        <v>0</v>
      </c>
      <c r="R259" s="60">
        <f t="shared" si="152"/>
        <v>3481549.88</v>
      </c>
      <c r="S259" s="61">
        <f>27780+563850</f>
        <v>591630</v>
      </c>
      <c r="T259" s="62">
        <f t="shared" si="150"/>
        <v>0.16993293802816348</v>
      </c>
      <c r="U259" s="61">
        <f>591630</f>
        <v>591630</v>
      </c>
      <c r="V259" s="62">
        <f t="shared" si="155"/>
        <v>0.16993293802816348</v>
      </c>
      <c r="W259" s="61">
        <f>27780+563850</f>
        <v>591630</v>
      </c>
      <c r="X259" s="63">
        <f t="shared" si="154"/>
        <v>0.16993293802816348</v>
      </c>
      <c r="Y259" s="42"/>
    </row>
    <row r="260" spans="1:25" s="42" customFormat="1" ht="9" customHeight="1" x14ac:dyDescent="0.2">
      <c r="A260" s="65"/>
      <c r="B260" s="66"/>
      <c r="C260" s="67"/>
      <c r="D260" s="68"/>
      <c r="E260" s="69"/>
      <c r="F260" s="70"/>
      <c r="G260" s="71"/>
      <c r="H260" s="67"/>
      <c r="I260" s="72"/>
      <c r="J260" s="73"/>
      <c r="K260" s="74"/>
      <c r="L260" s="75"/>
      <c r="M260" s="75"/>
      <c r="N260" s="74"/>
      <c r="O260" s="75"/>
      <c r="P260" s="75"/>
      <c r="Q260" s="75"/>
      <c r="R260" s="74"/>
      <c r="S260" s="75"/>
      <c r="T260" s="76"/>
      <c r="U260" s="75"/>
      <c r="V260" s="76"/>
      <c r="W260" s="75"/>
      <c r="X260" s="77"/>
    </row>
    <row r="261" spans="1:25" s="50" customFormat="1" ht="39" customHeight="1" x14ac:dyDescent="0.2">
      <c r="A261" s="98" t="s">
        <v>130</v>
      </c>
      <c r="B261" s="161" t="s">
        <v>131</v>
      </c>
      <c r="C261" s="162"/>
      <c r="D261" s="79" t="s">
        <v>222</v>
      </c>
      <c r="E261" s="80" t="s">
        <v>49</v>
      </c>
      <c r="F261" s="161" t="s">
        <v>223</v>
      </c>
      <c r="G261" s="163"/>
      <c r="H261" s="163"/>
      <c r="I261" s="163"/>
      <c r="J261" s="162"/>
      <c r="K261" s="81">
        <f>SUM(K262:K264)</f>
        <v>2518980</v>
      </c>
      <c r="L261" s="81">
        <f t="shared" ref="L261:S261" si="156">SUM(L262:L264)</f>
        <v>413213</v>
      </c>
      <c r="M261" s="81">
        <f t="shared" si="156"/>
        <v>0</v>
      </c>
      <c r="N261" s="81">
        <f t="shared" si="156"/>
        <v>2932193</v>
      </c>
      <c r="O261" s="81">
        <f t="shared" si="156"/>
        <v>0</v>
      </c>
      <c r="P261" s="81">
        <f t="shared" si="156"/>
        <v>0</v>
      </c>
      <c r="Q261" s="81">
        <f t="shared" si="156"/>
        <v>0</v>
      </c>
      <c r="R261" s="81">
        <f t="shared" si="156"/>
        <v>2932193</v>
      </c>
      <c r="S261" s="81">
        <f t="shared" si="156"/>
        <v>518427.89999999997</v>
      </c>
      <c r="T261" s="82">
        <f>S261/R261</f>
        <v>0.17680551723573448</v>
      </c>
      <c r="U261" s="81">
        <f>SUM(U262:U264)</f>
        <v>405261.72</v>
      </c>
      <c r="V261" s="82">
        <f>U261/R261</f>
        <v>0.13821113412384517</v>
      </c>
      <c r="W261" s="81">
        <f>SUM(W262:W264)</f>
        <v>402772.56</v>
      </c>
      <c r="X261" s="83">
        <f>W261/R261</f>
        <v>0.13736222683841071</v>
      </c>
      <c r="Y261" s="49"/>
    </row>
    <row r="262" spans="1:25" s="64" customFormat="1" ht="39" customHeight="1" x14ac:dyDescent="0.2">
      <c r="A262" s="91" t="s">
        <v>130</v>
      </c>
      <c r="B262" s="52" t="s">
        <v>131</v>
      </c>
      <c r="C262" s="53" t="s">
        <v>220</v>
      </c>
      <c r="D262" s="54" t="s">
        <v>222</v>
      </c>
      <c r="E262" s="55" t="s">
        <v>49</v>
      </c>
      <c r="F262" s="56" t="s">
        <v>224</v>
      </c>
      <c r="G262" s="57">
        <v>1</v>
      </c>
      <c r="H262" s="53" t="s">
        <v>52</v>
      </c>
      <c r="I262" s="58" t="s">
        <v>53</v>
      </c>
      <c r="J262" s="59">
        <v>4</v>
      </c>
      <c r="K262" s="60">
        <v>20000</v>
      </c>
      <c r="L262" s="61">
        <v>0</v>
      </c>
      <c r="M262" s="61">
        <v>0</v>
      </c>
      <c r="N262" s="60">
        <f t="shared" si="151"/>
        <v>20000</v>
      </c>
      <c r="O262" s="61">
        <v>0</v>
      </c>
      <c r="P262" s="61">
        <v>0</v>
      </c>
      <c r="Q262" s="61">
        <v>0</v>
      </c>
      <c r="R262" s="60">
        <f t="shared" si="152"/>
        <v>20000</v>
      </c>
      <c r="S262" s="61">
        <v>0</v>
      </c>
      <c r="T262" s="62">
        <f t="shared" ref="T262:T264" si="157">S262/R262</f>
        <v>0</v>
      </c>
      <c r="U262" s="61">
        <v>0</v>
      </c>
      <c r="V262" s="62">
        <f t="shared" ref="V262:V264" si="158">U262/R262</f>
        <v>0</v>
      </c>
      <c r="W262" s="61">
        <v>0</v>
      </c>
      <c r="X262" s="63">
        <f t="shared" ref="X262:X264" si="159">W262/R262</f>
        <v>0</v>
      </c>
      <c r="Y262" s="42"/>
    </row>
    <row r="263" spans="1:25" s="64" customFormat="1" ht="39" customHeight="1" x14ac:dyDescent="0.2">
      <c r="A263" s="91" t="s">
        <v>130</v>
      </c>
      <c r="B263" s="52" t="s">
        <v>131</v>
      </c>
      <c r="C263" s="53" t="s">
        <v>220</v>
      </c>
      <c r="D263" s="54" t="s">
        <v>222</v>
      </c>
      <c r="E263" s="55" t="s">
        <v>49</v>
      </c>
      <c r="F263" s="56" t="s">
        <v>224</v>
      </c>
      <c r="G263" s="57">
        <v>1</v>
      </c>
      <c r="H263" s="53" t="s">
        <v>134</v>
      </c>
      <c r="I263" s="97" t="s">
        <v>135</v>
      </c>
      <c r="J263" s="59">
        <v>3</v>
      </c>
      <c r="K263" s="60">
        <v>2498980</v>
      </c>
      <c r="L263" s="61">
        <f>9451</f>
        <v>9451</v>
      </c>
      <c r="M263" s="61">
        <v>0</v>
      </c>
      <c r="N263" s="60">
        <f t="shared" si="151"/>
        <v>2508431</v>
      </c>
      <c r="O263" s="61">
        <v>0</v>
      </c>
      <c r="P263" s="61">
        <v>0</v>
      </c>
      <c r="Q263" s="61">
        <v>0</v>
      </c>
      <c r="R263" s="60">
        <f t="shared" si="152"/>
        <v>2508431</v>
      </c>
      <c r="S263" s="61">
        <f>81507.69+91500+42100+160146.9+114823.31</f>
        <v>490077.89999999997</v>
      </c>
      <c r="T263" s="62">
        <f t="shared" si="157"/>
        <v>0.19537228650100399</v>
      </c>
      <c r="U263" s="61">
        <f>20881.91+342.36+123640.98+216752.33+15294.14</f>
        <v>376911.72</v>
      </c>
      <c r="V263" s="62">
        <f t="shared" si="158"/>
        <v>0.15025795806223091</v>
      </c>
      <c r="W263" s="61">
        <f>19673.58+1550.69+123246.03+117533.77+112418.49</f>
        <v>374422.56</v>
      </c>
      <c r="X263" s="63">
        <f t="shared" si="159"/>
        <v>0.14926564055379637</v>
      </c>
      <c r="Y263" s="42"/>
    </row>
    <row r="264" spans="1:25" s="64" customFormat="1" ht="39" customHeight="1" x14ac:dyDescent="0.2">
      <c r="A264" s="91" t="s">
        <v>130</v>
      </c>
      <c r="B264" s="52" t="s">
        <v>131</v>
      </c>
      <c r="C264" s="53" t="s">
        <v>220</v>
      </c>
      <c r="D264" s="54" t="s">
        <v>222</v>
      </c>
      <c r="E264" s="55" t="s">
        <v>49</v>
      </c>
      <c r="F264" s="56" t="s">
        <v>224</v>
      </c>
      <c r="G264" s="57">
        <v>1</v>
      </c>
      <c r="H264" s="99" t="s">
        <v>142</v>
      </c>
      <c r="I264" s="101" t="s">
        <v>143</v>
      </c>
      <c r="J264" s="59">
        <v>4</v>
      </c>
      <c r="K264" s="60">
        <v>0</v>
      </c>
      <c r="L264" s="61">
        <f>403762</f>
        <v>403762</v>
      </c>
      <c r="M264" s="61">
        <v>0</v>
      </c>
      <c r="N264" s="60">
        <f t="shared" si="151"/>
        <v>403762</v>
      </c>
      <c r="O264" s="61">
        <v>0</v>
      </c>
      <c r="P264" s="61">
        <v>0</v>
      </c>
      <c r="Q264" s="61">
        <v>0</v>
      </c>
      <c r="R264" s="60">
        <f t="shared" si="152"/>
        <v>403762</v>
      </c>
      <c r="S264" s="61">
        <f>28350</f>
        <v>28350</v>
      </c>
      <c r="T264" s="62">
        <f t="shared" si="157"/>
        <v>7.0214631391760499E-2</v>
      </c>
      <c r="U264" s="61">
        <f>28350</f>
        <v>28350</v>
      </c>
      <c r="V264" s="62">
        <f t="shared" si="158"/>
        <v>7.0214631391760499E-2</v>
      </c>
      <c r="W264" s="61">
        <f>28350</f>
        <v>28350</v>
      </c>
      <c r="X264" s="63">
        <f t="shared" si="159"/>
        <v>7.0214631391760499E-2</v>
      </c>
      <c r="Y264" s="42"/>
    </row>
    <row r="265" spans="1:25" s="42" customFormat="1" ht="9" customHeight="1" x14ac:dyDescent="0.2">
      <c r="A265" s="65"/>
      <c r="B265" s="66"/>
      <c r="C265" s="67"/>
      <c r="D265" s="68"/>
      <c r="E265" s="69"/>
      <c r="F265" s="70"/>
      <c r="G265" s="71"/>
      <c r="H265" s="67"/>
      <c r="I265" s="72"/>
      <c r="J265" s="73"/>
      <c r="K265" s="74"/>
      <c r="L265" s="75"/>
      <c r="M265" s="75"/>
      <c r="N265" s="74"/>
      <c r="O265" s="75"/>
      <c r="P265" s="75"/>
      <c r="Q265" s="75"/>
      <c r="R265" s="74"/>
      <c r="S265" s="75"/>
      <c r="T265" s="76"/>
      <c r="U265" s="75"/>
      <c r="V265" s="76"/>
      <c r="W265" s="75"/>
      <c r="X265" s="77"/>
    </row>
    <row r="266" spans="1:25" s="50" customFormat="1" ht="39" customHeight="1" x14ac:dyDescent="0.2">
      <c r="A266" s="98" t="s">
        <v>130</v>
      </c>
      <c r="B266" s="161" t="s">
        <v>131</v>
      </c>
      <c r="C266" s="162"/>
      <c r="D266" s="79" t="s">
        <v>225</v>
      </c>
      <c r="E266" s="80" t="s">
        <v>49</v>
      </c>
      <c r="F266" s="161" t="s">
        <v>226</v>
      </c>
      <c r="G266" s="163"/>
      <c r="H266" s="163"/>
      <c r="I266" s="163"/>
      <c r="J266" s="162"/>
      <c r="K266" s="81">
        <f>SUM(K267:K269)</f>
        <v>5942470</v>
      </c>
      <c r="L266" s="81">
        <f t="shared" ref="L266:S266" si="160">SUM(L267:L269)</f>
        <v>1212343</v>
      </c>
      <c r="M266" s="81">
        <f t="shared" si="160"/>
        <v>0</v>
      </c>
      <c r="N266" s="81">
        <f t="shared" si="160"/>
        <v>7154813</v>
      </c>
      <c r="O266" s="81">
        <f t="shared" si="160"/>
        <v>0</v>
      </c>
      <c r="P266" s="81">
        <f t="shared" si="160"/>
        <v>0</v>
      </c>
      <c r="Q266" s="81">
        <f t="shared" si="160"/>
        <v>0</v>
      </c>
      <c r="R266" s="81">
        <f t="shared" si="160"/>
        <v>7154813</v>
      </c>
      <c r="S266" s="81">
        <f t="shared" si="160"/>
        <v>895861.52</v>
      </c>
      <c r="T266" s="82">
        <f t="shared" ref="T266:T269" si="161">S266/R266</f>
        <v>0.1252110320703001</v>
      </c>
      <c r="U266" s="81">
        <f>SUM(U267:U269)</f>
        <v>812021.5</v>
      </c>
      <c r="V266" s="82">
        <f>U266/R266</f>
        <v>0.11349304307464081</v>
      </c>
      <c r="W266" s="81">
        <f>SUM(W267:W269)</f>
        <v>759532.33000000007</v>
      </c>
      <c r="X266" s="83">
        <f>W266/R266</f>
        <v>0.1061568387601465</v>
      </c>
      <c r="Y266" s="49"/>
    </row>
    <row r="267" spans="1:25" s="64" customFormat="1" ht="39" customHeight="1" x14ac:dyDescent="0.2">
      <c r="A267" s="91" t="s">
        <v>130</v>
      </c>
      <c r="B267" s="52" t="s">
        <v>131</v>
      </c>
      <c r="C267" s="53" t="s">
        <v>220</v>
      </c>
      <c r="D267" s="54" t="s">
        <v>225</v>
      </c>
      <c r="E267" s="55" t="s">
        <v>49</v>
      </c>
      <c r="F267" s="56" t="s">
        <v>227</v>
      </c>
      <c r="G267" s="57">
        <v>1</v>
      </c>
      <c r="H267" s="53" t="s">
        <v>52</v>
      </c>
      <c r="I267" s="58" t="s">
        <v>53</v>
      </c>
      <c r="J267" s="59">
        <v>4</v>
      </c>
      <c r="K267" s="60">
        <v>50000</v>
      </c>
      <c r="L267" s="61">
        <v>0</v>
      </c>
      <c r="M267" s="61">
        <v>0</v>
      </c>
      <c r="N267" s="60">
        <f t="shared" si="151"/>
        <v>50000</v>
      </c>
      <c r="O267" s="61">
        <v>0</v>
      </c>
      <c r="P267" s="61">
        <v>0</v>
      </c>
      <c r="Q267" s="61">
        <v>0</v>
      </c>
      <c r="R267" s="60">
        <f t="shared" si="152"/>
        <v>50000</v>
      </c>
      <c r="S267" s="61">
        <v>0</v>
      </c>
      <c r="T267" s="62">
        <f t="shared" si="161"/>
        <v>0</v>
      </c>
      <c r="U267" s="61">
        <v>0</v>
      </c>
      <c r="V267" s="62">
        <f t="shared" ref="V267:V269" si="162">U267/R267</f>
        <v>0</v>
      </c>
      <c r="W267" s="61">
        <v>0</v>
      </c>
      <c r="X267" s="63">
        <f t="shared" ref="X267:X269" si="163">W267/R267</f>
        <v>0</v>
      </c>
      <c r="Y267" s="42"/>
    </row>
    <row r="268" spans="1:25" s="64" customFormat="1" ht="39" customHeight="1" x14ac:dyDescent="0.2">
      <c r="A268" s="91" t="s">
        <v>130</v>
      </c>
      <c r="B268" s="52" t="s">
        <v>131</v>
      </c>
      <c r="C268" s="53" t="s">
        <v>220</v>
      </c>
      <c r="D268" s="54" t="s">
        <v>225</v>
      </c>
      <c r="E268" s="55" t="s">
        <v>49</v>
      </c>
      <c r="F268" s="56" t="s">
        <v>227</v>
      </c>
      <c r="G268" s="57">
        <v>1</v>
      </c>
      <c r="H268" s="53" t="s">
        <v>134</v>
      </c>
      <c r="I268" s="97" t="s">
        <v>135</v>
      </c>
      <c r="J268" s="59">
        <v>3</v>
      </c>
      <c r="K268" s="60">
        <v>5892470</v>
      </c>
      <c r="L268" s="61">
        <f>34468</f>
        <v>34468</v>
      </c>
      <c r="M268" s="61">
        <v>0</v>
      </c>
      <c r="N268" s="60">
        <f t="shared" si="151"/>
        <v>5926938</v>
      </c>
      <c r="O268" s="61">
        <v>0</v>
      </c>
      <c r="P268" s="61">
        <v>0</v>
      </c>
      <c r="Q268" s="61">
        <v>0</v>
      </c>
      <c r="R268" s="60">
        <f t="shared" si="152"/>
        <v>5926938</v>
      </c>
      <c r="S268" s="61">
        <f>88427.39+256512.62+104461.44+278264.37+136695.7</f>
        <v>864361.52</v>
      </c>
      <c r="T268" s="62">
        <f t="shared" si="161"/>
        <v>0.14583609951715371</v>
      </c>
      <c r="U268" s="61">
        <f>24777.22+194602.61+157471.92+336757.78+66911.97</f>
        <v>780521.5</v>
      </c>
      <c r="V268" s="62">
        <f t="shared" si="162"/>
        <v>0.13169051203167639</v>
      </c>
      <c r="W268" s="61">
        <f>21840.55+197539.28+156256.63+208860.57+143535.3</f>
        <v>728032.33000000007</v>
      </c>
      <c r="X268" s="63">
        <f t="shared" si="163"/>
        <v>0.12283447709424328</v>
      </c>
      <c r="Y268" s="42"/>
    </row>
    <row r="269" spans="1:25" s="64" customFormat="1" ht="39" customHeight="1" x14ac:dyDescent="0.2">
      <c r="A269" s="91" t="s">
        <v>130</v>
      </c>
      <c r="B269" s="52" t="s">
        <v>131</v>
      </c>
      <c r="C269" s="53" t="s">
        <v>220</v>
      </c>
      <c r="D269" s="54" t="s">
        <v>225</v>
      </c>
      <c r="E269" s="55" t="s">
        <v>49</v>
      </c>
      <c r="F269" s="56" t="s">
        <v>227</v>
      </c>
      <c r="G269" s="57">
        <v>1</v>
      </c>
      <c r="H269" s="99" t="s">
        <v>142</v>
      </c>
      <c r="I269" s="101" t="s">
        <v>143</v>
      </c>
      <c r="J269" s="59">
        <v>4</v>
      </c>
      <c r="K269" s="60">
        <v>0</v>
      </c>
      <c r="L269" s="61">
        <f>1177875</f>
        <v>1177875</v>
      </c>
      <c r="M269" s="61">
        <v>0</v>
      </c>
      <c r="N269" s="60">
        <f t="shared" si="151"/>
        <v>1177875</v>
      </c>
      <c r="O269" s="61">
        <v>0</v>
      </c>
      <c r="P269" s="61">
        <v>0</v>
      </c>
      <c r="Q269" s="61">
        <v>0</v>
      </c>
      <c r="R269" s="60">
        <f t="shared" si="152"/>
        <v>1177875</v>
      </c>
      <c r="S269" s="61">
        <f>31500</f>
        <v>31500</v>
      </c>
      <c r="T269" s="62">
        <f t="shared" si="161"/>
        <v>2.6743075453677174E-2</v>
      </c>
      <c r="U269" s="61">
        <f>31500</f>
        <v>31500</v>
      </c>
      <c r="V269" s="62">
        <f t="shared" si="162"/>
        <v>2.6743075453677174E-2</v>
      </c>
      <c r="W269" s="61">
        <f>31500</f>
        <v>31500</v>
      </c>
      <c r="X269" s="63">
        <f t="shared" si="163"/>
        <v>2.6743075453677174E-2</v>
      </c>
      <c r="Y269" s="42"/>
    </row>
    <row r="270" spans="1:25" s="42" customFormat="1" ht="9" customHeight="1" x14ac:dyDescent="0.2">
      <c r="A270" s="65"/>
      <c r="B270" s="66"/>
      <c r="C270" s="67"/>
      <c r="D270" s="68"/>
      <c r="E270" s="69"/>
      <c r="F270" s="70"/>
      <c r="G270" s="71"/>
      <c r="H270" s="67"/>
      <c r="I270" s="72"/>
      <c r="J270" s="73"/>
      <c r="K270" s="74"/>
      <c r="L270" s="75"/>
      <c r="M270" s="75"/>
      <c r="N270" s="74"/>
      <c r="O270" s="75"/>
      <c r="P270" s="75"/>
      <c r="Q270" s="75"/>
      <c r="R270" s="74"/>
      <c r="S270" s="75"/>
      <c r="T270" s="76"/>
      <c r="U270" s="75"/>
      <c r="V270" s="76"/>
      <c r="W270" s="75"/>
      <c r="X270" s="77"/>
    </row>
    <row r="271" spans="1:25" s="50" customFormat="1" ht="39" customHeight="1" x14ac:dyDescent="0.2">
      <c r="A271" s="98" t="s">
        <v>130</v>
      </c>
      <c r="B271" s="161" t="s">
        <v>131</v>
      </c>
      <c r="C271" s="162"/>
      <c r="D271" s="79" t="s">
        <v>228</v>
      </c>
      <c r="E271" s="80" t="s">
        <v>49</v>
      </c>
      <c r="F271" s="161" t="s">
        <v>229</v>
      </c>
      <c r="G271" s="163"/>
      <c r="H271" s="163"/>
      <c r="I271" s="163"/>
      <c r="J271" s="162"/>
      <c r="K271" s="81">
        <f>SUM(K272:K273)</f>
        <v>1228775</v>
      </c>
      <c r="L271" s="81">
        <f t="shared" ref="L271:S271" si="164">SUM(L272:L273)</f>
        <v>80000</v>
      </c>
      <c r="M271" s="81">
        <f t="shared" si="164"/>
        <v>0</v>
      </c>
      <c r="N271" s="81">
        <f t="shared" si="164"/>
        <v>1308775</v>
      </c>
      <c r="O271" s="81">
        <f t="shared" si="164"/>
        <v>0</v>
      </c>
      <c r="P271" s="81">
        <f t="shared" si="164"/>
        <v>0</v>
      </c>
      <c r="Q271" s="81">
        <f t="shared" si="164"/>
        <v>0</v>
      </c>
      <c r="R271" s="81">
        <f t="shared" si="164"/>
        <v>1308775</v>
      </c>
      <c r="S271" s="81">
        <f t="shared" si="164"/>
        <v>86154.05</v>
      </c>
      <c r="T271" s="82">
        <f>S271/R271</f>
        <v>6.582800710588145E-2</v>
      </c>
      <c r="U271" s="81">
        <f>SUM(U272:U273)</f>
        <v>80558.39</v>
      </c>
      <c r="V271" s="82">
        <f>U271/R271</f>
        <v>6.1552512845981927E-2</v>
      </c>
      <c r="W271" s="81">
        <f>SUM(W272:W273)</f>
        <v>80558.39</v>
      </c>
      <c r="X271" s="83">
        <f>W271/R271</f>
        <v>6.1552512845981927E-2</v>
      </c>
      <c r="Y271" s="49"/>
    </row>
    <row r="272" spans="1:25" s="64" customFormat="1" ht="39" customHeight="1" x14ac:dyDescent="0.2">
      <c r="A272" s="91" t="s">
        <v>130</v>
      </c>
      <c r="B272" s="52" t="s">
        <v>131</v>
      </c>
      <c r="C272" s="53" t="s">
        <v>230</v>
      </c>
      <c r="D272" s="54" t="s">
        <v>228</v>
      </c>
      <c r="E272" s="55" t="s">
        <v>49</v>
      </c>
      <c r="F272" s="56" t="s">
        <v>229</v>
      </c>
      <c r="G272" s="57">
        <v>1</v>
      </c>
      <c r="H272" s="53" t="s">
        <v>134</v>
      </c>
      <c r="I272" s="97" t="s">
        <v>135</v>
      </c>
      <c r="J272" s="59">
        <v>3</v>
      </c>
      <c r="K272" s="60">
        <v>1228775</v>
      </c>
      <c r="L272" s="61">
        <v>0</v>
      </c>
      <c r="M272" s="61">
        <v>0</v>
      </c>
      <c r="N272" s="60">
        <f t="shared" ref="N272:N283" si="165">K272+L272-M272</f>
        <v>1228775</v>
      </c>
      <c r="O272" s="61">
        <v>0</v>
      </c>
      <c r="P272" s="61">
        <v>0</v>
      </c>
      <c r="Q272" s="61">
        <v>0</v>
      </c>
      <c r="R272" s="60">
        <f t="shared" si="152"/>
        <v>1228775</v>
      </c>
      <c r="S272" s="61">
        <f>6300+65757.84+7600.61+6495.6</f>
        <v>86154.05</v>
      </c>
      <c r="T272" s="62">
        <f t="shared" ref="T272:T273" si="166">S272/R272</f>
        <v>7.0113771845944139E-2</v>
      </c>
      <c r="U272" s="61">
        <f>66957.78+7600.61+5000+1000</f>
        <v>80558.39</v>
      </c>
      <c r="V272" s="62">
        <f t="shared" ref="V272:V273" si="167">U272/R272</f>
        <v>6.5559919431954591E-2</v>
      </c>
      <c r="W272" s="61">
        <f>26957.78+47600.61+1165.12+4834.88</f>
        <v>80558.39</v>
      </c>
      <c r="X272" s="63">
        <f t="shared" ref="X272:X273" si="168">W272/R272</f>
        <v>6.5559919431954591E-2</v>
      </c>
      <c r="Y272" s="42"/>
    </row>
    <row r="273" spans="1:25" s="64" customFormat="1" ht="39" customHeight="1" x14ac:dyDescent="0.2">
      <c r="A273" s="91" t="s">
        <v>130</v>
      </c>
      <c r="B273" s="52" t="s">
        <v>131</v>
      </c>
      <c r="C273" s="53" t="s">
        <v>230</v>
      </c>
      <c r="D273" s="54" t="s">
        <v>228</v>
      </c>
      <c r="E273" s="55" t="s">
        <v>49</v>
      </c>
      <c r="F273" s="56" t="s">
        <v>229</v>
      </c>
      <c r="G273" s="57">
        <v>1</v>
      </c>
      <c r="H273" s="84" t="s">
        <v>61</v>
      </c>
      <c r="I273" s="85" t="s">
        <v>62</v>
      </c>
      <c r="J273" s="59">
        <v>3</v>
      </c>
      <c r="K273" s="60">
        <v>0</v>
      </c>
      <c r="L273" s="61">
        <f>80000</f>
        <v>80000</v>
      </c>
      <c r="M273" s="61">
        <v>0</v>
      </c>
      <c r="N273" s="60">
        <f t="shared" si="165"/>
        <v>80000</v>
      </c>
      <c r="O273" s="61">
        <v>0</v>
      </c>
      <c r="P273" s="61">
        <v>0</v>
      </c>
      <c r="Q273" s="61">
        <v>0</v>
      </c>
      <c r="R273" s="60">
        <f t="shared" si="152"/>
        <v>80000</v>
      </c>
      <c r="S273" s="61">
        <v>0</v>
      </c>
      <c r="T273" s="62">
        <f t="shared" si="166"/>
        <v>0</v>
      </c>
      <c r="U273" s="61">
        <v>0</v>
      </c>
      <c r="V273" s="62">
        <f t="shared" si="167"/>
        <v>0</v>
      </c>
      <c r="W273" s="61">
        <v>0</v>
      </c>
      <c r="X273" s="63">
        <f t="shared" si="168"/>
        <v>0</v>
      </c>
      <c r="Y273" s="42"/>
    </row>
    <row r="274" spans="1:25" s="42" customFormat="1" ht="9" customHeight="1" x14ac:dyDescent="0.2">
      <c r="A274" s="65"/>
      <c r="B274" s="66"/>
      <c r="C274" s="67"/>
      <c r="D274" s="68"/>
      <c r="E274" s="69"/>
      <c r="F274" s="70"/>
      <c r="G274" s="71"/>
      <c r="H274" s="67"/>
      <c r="I274" s="72"/>
      <c r="J274" s="73"/>
      <c r="K274" s="74"/>
      <c r="L274" s="75"/>
      <c r="M274" s="75"/>
      <c r="N274" s="74"/>
      <c r="O274" s="75"/>
      <c r="P274" s="75"/>
      <c r="Q274" s="75"/>
      <c r="R274" s="74"/>
      <c r="S274" s="75"/>
      <c r="T274" s="76"/>
      <c r="U274" s="75"/>
      <c r="V274" s="76"/>
      <c r="W274" s="75"/>
      <c r="X274" s="77"/>
    </row>
    <row r="275" spans="1:25" s="50" customFormat="1" ht="39" customHeight="1" x14ac:dyDescent="0.2">
      <c r="A275" s="98" t="s">
        <v>130</v>
      </c>
      <c r="B275" s="161" t="s">
        <v>131</v>
      </c>
      <c r="C275" s="162"/>
      <c r="D275" s="79" t="s">
        <v>231</v>
      </c>
      <c r="E275" s="80" t="s">
        <v>49</v>
      </c>
      <c r="F275" s="161" t="s">
        <v>232</v>
      </c>
      <c r="G275" s="163"/>
      <c r="H275" s="163"/>
      <c r="I275" s="163"/>
      <c r="J275" s="162"/>
      <c r="K275" s="81">
        <f>K276</f>
        <v>11880</v>
      </c>
      <c r="L275" s="81">
        <f t="shared" ref="L275:S275" si="169">L276</f>
        <v>0</v>
      </c>
      <c r="M275" s="81">
        <f t="shared" si="169"/>
        <v>0</v>
      </c>
      <c r="N275" s="81">
        <f t="shared" si="169"/>
        <v>11880</v>
      </c>
      <c r="O275" s="81">
        <f t="shared" si="169"/>
        <v>0</v>
      </c>
      <c r="P275" s="81">
        <f t="shared" si="169"/>
        <v>0</v>
      </c>
      <c r="Q275" s="81">
        <f t="shared" si="169"/>
        <v>0</v>
      </c>
      <c r="R275" s="81">
        <f t="shared" si="169"/>
        <v>11880</v>
      </c>
      <c r="S275" s="81">
        <f t="shared" si="169"/>
        <v>0</v>
      </c>
      <c r="T275" s="82">
        <f>S275/R275</f>
        <v>0</v>
      </c>
      <c r="U275" s="81">
        <f>U276</f>
        <v>0</v>
      </c>
      <c r="V275" s="82">
        <f>U275/R275</f>
        <v>0</v>
      </c>
      <c r="W275" s="81">
        <f>W276</f>
        <v>0</v>
      </c>
      <c r="X275" s="83">
        <f>W275/R275</f>
        <v>0</v>
      </c>
      <c r="Y275" s="49"/>
    </row>
    <row r="276" spans="1:25" s="64" customFormat="1" ht="39" customHeight="1" x14ac:dyDescent="0.2">
      <c r="A276" s="91" t="s">
        <v>130</v>
      </c>
      <c r="B276" s="52" t="s">
        <v>131</v>
      </c>
      <c r="C276" s="53" t="s">
        <v>230</v>
      </c>
      <c r="D276" s="54" t="s">
        <v>231</v>
      </c>
      <c r="E276" s="55" t="s">
        <v>49</v>
      </c>
      <c r="F276" s="56" t="s">
        <v>232</v>
      </c>
      <c r="G276" s="57">
        <v>1</v>
      </c>
      <c r="H276" s="53" t="s">
        <v>134</v>
      </c>
      <c r="I276" s="97" t="s">
        <v>135</v>
      </c>
      <c r="J276" s="59">
        <v>3</v>
      </c>
      <c r="K276" s="60">
        <v>11880</v>
      </c>
      <c r="L276" s="61">
        <v>0</v>
      </c>
      <c r="M276" s="61">
        <v>0</v>
      </c>
      <c r="N276" s="60">
        <f t="shared" si="165"/>
        <v>11880</v>
      </c>
      <c r="O276" s="61">
        <v>0</v>
      </c>
      <c r="P276" s="61">
        <v>0</v>
      </c>
      <c r="Q276" s="61">
        <v>0</v>
      </c>
      <c r="R276" s="60">
        <f t="shared" si="152"/>
        <v>11880</v>
      </c>
      <c r="S276" s="61">
        <v>0</v>
      </c>
      <c r="T276" s="62">
        <f>S276/R276</f>
        <v>0</v>
      </c>
      <c r="U276" s="61">
        <v>0</v>
      </c>
      <c r="V276" s="62">
        <f t="shared" si="153"/>
        <v>0</v>
      </c>
      <c r="W276" s="61">
        <v>0</v>
      </c>
      <c r="X276" s="63">
        <f t="shared" si="154"/>
        <v>0</v>
      </c>
      <c r="Y276" s="42"/>
    </row>
    <row r="277" spans="1:25" s="42" customFormat="1" ht="9" customHeight="1" x14ac:dyDescent="0.2">
      <c r="A277" s="65"/>
      <c r="B277" s="66"/>
      <c r="C277" s="67"/>
      <c r="D277" s="68"/>
      <c r="E277" s="69"/>
      <c r="F277" s="70"/>
      <c r="G277" s="71"/>
      <c r="H277" s="67"/>
      <c r="I277" s="72"/>
      <c r="J277" s="73"/>
      <c r="K277" s="74"/>
      <c r="L277" s="75"/>
      <c r="M277" s="75"/>
      <c r="N277" s="74"/>
      <c r="O277" s="75"/>
      <c r="P277" s="75"/>
      <c r="Q277" s="75"/>
      <c r="R277" s="74"/>
      <c r="S277" s="75"/>
      <c r="T277" s="76"/>
      <c r="U277" s="75"/>
      <c r="V277" s="76"/>
      <c r="W277" s="75"/>
      <c r="X277" s="77"/>
    </row>
    <row r="278" spans="1:25" s="50" customFormat="1" ht="39" customHeight="1" x14ac:dyDescent="0.2">
      <c r="A278" s="98" t="s">
        <v>130</v>
      </c>
      <c r="B278" s="161" t="s">
        <v>131</v>
      </c>
      <c r="C278" s="162"/>
      <c r="D278" s="79" t="s">
        <v>233</v>
      </c>
      <c r="E278" s="80" t="s">
        <v>49</v>
      </c>
      <c r="F278" s="161" t="s">
        <v>234</v>
      </c>
      <c r="G278" s="163"/>
      <c r="H278" s="163"/>
      <c r="I278" s="163"/>
      <c r="J278" s="162"/>
      <c r="K278" s="81">
        <f>K279</f>
        <v>84000</v>
      </c>
      <c r="L278" s="81">
        <f t="shared" ref="L278:S278" si="170">L279</f>
        <v>0</v>
      </c>
      <c r="M278" s="81">
        <f t="shared" si="170"/>
        <v>0</v>
      </c>
      <c r="N278" s="81">
        <f t="shared" si="170"/>
        <v>84000</v>
      </c>
      <c r="O278" s="81">
        <f t="shared" si="170"/>
        <v>0</v>
      </c>
      <c r="P278" s="81">
        <f t="shared" si="170"/>
        <v>0</v>
      </c>
      <c r="Q278" s="81">
        <f t="shared" si="170"/>
        <v>0</v>
      </c>
      <c r="R278" s="81">
        <f t="shared" si="170"/>
        <v>84000</v>
      </c>
      <c r="S278" s="81">
        <f t="shared" si="170"/>
        <v>4545.09</v>
      </c>
      <c r="T278" s="82">
        <f>S278/R278</f>
        <v>5.4108214285714287E-2</v>
      </c>
      <c r="U278" s="81">
        <f>U279</f>
        <v>4545.09</v>
      </c>
      <c r="V278" s="82">
        <f>U278/R278</f>
        <v>5.4108214285714287E-2</v>
      </c>
      <c r="W278" s="81">
        <f>W279</f>
        <v>4545.09</v>
      </c>
      <c r="X278" s="83">
        <f>W278/R278</f>
        <v>5.4108214285714287E-2</v>
      </c>
      <c r="Y278" s="49"/>
    </row>
    <row r="279" spans="1:25" s="64" customFormat="1" ht="39" customHeight="1" x14ac:dyDescent="0.2">
      <c r="A279" s="91" t="s">
        <v>130</v>
      </c>
      <c r="B279" s="52" t="s">
        <v>131</v>
      </c>
      <c r="C279" s="53" t="s">
        <v>230</v>
      </c>
      <c r="D279" s="54" t="s">
        <v>233</v>
      </c>
      <c r="E279" s="55" t="s">
        <v>49</v>
      </c>
      <c r="F279" s="56" t="s">
        <v>234</v>
      </c>
      <c r="G279" s="57">
        <v>1</v>
      </c>
      <c r="H279" s="53" t="s">
        <v>134</v>
      </c>
      <c r="I279" s="97" t="s">
        <v>135</v>
      </c>
      <c r="J279" s="59">
        <v>3</v>
      </c>
      <c r="K279" s="60">
        <v>84000</v>
      </c>
      <c r="L279" s="61">
        <v>0</v>
      </c>
      <c r="M279" s="61">
        <v>0</v>
      </c>
      <c r="N279" s="60">
        <f t="shared" si="165"/>
        <v>84000</v>
      </c>
      <c r="O279" s="61">
        <v>0</v>
      </c>
      <c r="P279" s="61">
        <v>0</v>
      </c>
      <c r="Q279" s="61">
        <v>0</v>
      </c>
      <c r="R279" s="60">
        <f t="shared" si="152"/>
        <v>84000</v>
      </c>
      <c r="S279" s="61">
        <f>4545.09</f>
        <v>4545.09</v>
      </c>
      <c r="T279" s="62">
        <f>S279/R279</f>
        <v>5.4108214285714287E-2</v>
      </c>
      <c r="U279" s="61">
        <f>4545.09</f>
        <v>4545.09</v>
      </c>
      <c r="V279" s="62">
        <f t="shared" si="153"/>
        <v>5.4108214285714287E-2</v>
      </c>
      <c r="W279" s="61">
        <f>4545.09</f>
        <v>4545.09</v>
      </c>
      <c r="X279" s="63">
        <f t="shared" si="154"/>
        <v>5.4108214285714287E-2</v>
      </c>
      <c r="Y279" s="42"/>
    </row>
    <row r="280" spans="1:25" s="42" customFormat="1" ht="9" customHeight="1" x14ac:dyDescent="0.2">
      <c r="A280" s="65"/>
      <c r="B280" s="66"/>
      <c r="C280" s="67"/>
      <c r="D280" s="68"/>
      <c r="E280" s="69"/>
      <c r="F280" s="70"/>
      <c r="G280" s="71"/>
      <c r="H280" s="67"/>
      <c r="I280" s="72"/>
      <c r="J280" s="73"/>
      <c r="K280" s="74"/>
      <c r="L280" s="75"/>
      <c r="M280" s="75"/>
      <c r="N280" s="74"/>
      <c r="O280" s="75"/>
      <c r="P280" s="75"/>
      <c r="Q280" s="75"/>
      <c r="R280" s="74"/>
      <c r="S280" s="75"/>
      <c r="T280" s="76"/>
      <c r="U280" s="75"/>
      <c r="V280" s="76"/>
      <c r="W280" s="75"/>
      <c r="X280" s="77"/>
    </row>
    <row r="281" spans="1:25" s="50" customFormat="1" ht="39" customHeight="1" x14ac:dyDescent="0.2">
      <c r="A281" s="98" t="s">
        <v>130</v>
      </c>
      <c r="B281" s="161" t="s">
        <v>131</v>
      </c>
      <c r="C281" s="162"/>
      <c r="D281" s="79" t="s">
        <v>235</v>
      </c>
      <c r="E281" s="80" t="s">
        <v>49</v>
      </c>
      <c r="F281" s="161" t="s">
        <v>236</v>
      </c>
      <c r="G281" s="163"/>
      <c r="H281" s="163"/>
      <c r="I281" s="163"/>
      <c r="J281" s="162"/>
      <c r="K281" s="81">
        <f>SUM(K282:K283)</f>
        <v>1137660</v>
      </c>
      <c r="L281" s="81">
        <f t="shared" ref="L281:S281" si="171">SUM(L282:L283)</f>
        <v>0</v>
      </c>
      <c r="M281" s="81">
        <f t="shared" si="171"/>
        <v>0</v>
      </c>
      <c r="N281" s="81">
        <f t="shared" si="171"/>
        <v>1137660</v>
      </c>
      <c r="O281" s="81">
        <f t="shared" si="171"/>
        <v>0</v>
      </c>
      <c r="P281" s="81">
        <f t="shared" si="171"/>
        <v>0</v>
      </c>
      <c r="Q281" s="81">
        <f t="shared" si="171"/>
        <v>0</v>
      </c>
      <c r="R281" s="81">
        <f t="shared" si="171"/>
        <v>1137660</v>
      </c>
      <c r="S281" s="81">
        <f t="shared" si="171"/>
        <v>119492.03</v>
      </c>
      <c r="T281" s="82">
        <f>S281/R281</f>
        <v>0.10503316456586326</v>
      </c>
      <c r="U281" s="81">
        <f>SUM(U282:U283)</f>
        <v>105639.63</v>
      </c>
      <c r="V281" s="82">
        <f>U281/R281</f>
        <v>9.2856943199198363E-2</v>
      </c>
      <c r="W281" s="81">
        <f>SUM(W282:W283)</f>
        <v>105639.63</v>
      </c>
      <c r="X281" s="83">
        <f>W281/R281</f>
        <v>9.2856943199198363E-2</v>
      </c>
      <c r="Y281" s="49"/>
    </row>
    <row r="282" spans="1:25" s="64" customFormat="1" ht="39" customHeight="1" x14ac:dyDescent="0.2">
      <c r="A282" s="91" t="s">
        <v>130</v>
      </c>
      <c r="B282" s="52" t="s">
        <v>131</v>
      </c>
      <c r="C282" s="53" t="s">
        <v>230</v>
      </c>
      <c r="D282" s="54" t="s">
        <v>235</v>
      </c>
      <c r="E282" s="55" t="s">
        <v>49</v>
      </c>
      <c r="F282" s="56" t="s">
        <v>236</v>
      </c>
      <c r="G282" s="57">
        <v>1</v>
      </c>
      <c r="H282" s="53" t="s">
        <v>237</v>
      </c>
      <c r="I282" s="58" t="s">
        <v>238</v>
      </c>
      <c r="J282" s="59">
        <v>3</v>
      </c>
      <c r="K282" s="60">
        <v>74060</v>
      </c>
      <c r="L282" s="61">
        <v>0</v>
      </c>
      <c r="M282" s="61">
        <v>0</v>
      </c>
      <c r="N282" s="60">
        <f t="shared" si="165"/>
        <v>74060</v>
      </c>
      <c r="O282" s="61">
        <v>0</v>
      </c>
      <c r="P282" s="61">
        <v>0</v>
      </c>
      <c r="Q282" s="61">
        <v>0</v>
      </c>
      <c r="R282" s="60">
        <f t="shared" si="152"/>
        <v>74060</v>
      </c>
      <c r="S282" s="61">
        <v>0</v>
      </c>
      <c r="T282" s="62">
        <f>S282/R282</f>
        <v>0</v>
      </c>
      <c r="U282" s="61">
        <v>0</v>
      </c>
      <c r="V282" s="62">
        <f>U282/R282</f>
        <v>0</v>
      </c>
      <c r="W282" s="61">
        <v>0</v>
      </c>
      <c r="X282" s="63">
        <f>W282/R282</f>
        <v>0</v>
      </c>
      <c r="Y282" s="42"/>
    </row>
    <row r="283" spans="1:25" s="64" customFormat="1" ht="39" customHeight="1" x14ac:dyDescent="0.2">
      <c r="A283" s="91" t="s">
        <v>130</v>
      </c>
      <c r="B283" s="52" t="s">
        <v>131</v>
      </c>
      <c r="C283" s="53" t="s">
        <v>230</v>
      </c>
      <c r="D283" s="54" t="s">
        <v>235</v>
      </c>
      <c r="E283" s="55" t="s">
        <v>49</v>
      </c>
      <c r="F283" s="56" t="s">
        <v>236</v>
      </c>
      <c r="G283" s="57">
        <v>1</v>
      </c>
      <c r="H283" s="53" t="s">
        <v>134</v>
      </c>
      <c r="I283" s="97" t="s">
        <v>135</v>
      </c>
      <c r="J283" s="59">
        <v>3</v>
      </c>
      <c r="K283" s="60">
        <v>1063600</v>
      </c>
      <c r="L283" s="61">
        <v>0</v>
      </c>
      <c r="M283" s="61">
        <v>0</v>
      </c>
      <c r="N283" s="60">
        <f t="shared" si="165"/>
        <v>1063600</v>
      </c>
      <c r="O283" s="61">
        <v>0</v>
      </c>
      <c r="P283" s="61">
        <v>0</v>
      </c>
      <c r="Q283" s="61">
        <v>0</v>
      </c>
      <c r="R283" s="60">
        <f t="shared" si="152"/>
        <v>1063600</v>
      </c>
      <c r="S283" s="61">
        <f>12965.8+38044.33+68481.9</f>
        <v>119492.03</v>
      </c>
      <c r="T283" s="62">
        <f>S283/R283</f>
        <v>0.11234677510342234</v>
      </c>
      <c r="U283" s="61">
        <f>12428.6+38487.97+54723.06</f>
        <v>105639.63</v>
      </c>
      <c r="V283" s="62">
        <f>U283/R283</f>
        <v>9.9322705904475367E-2</v>
      </c>
      <c r="W283" s="61">
        <f>4091.61+46824.96+50223.06+4500</f>
        <v>105639.63</v>
      </c>
      <c r="X283" s="63">
        <f>W283/R283</f>
        <v>9.9322705904475367E-2</v>
      </c>
      <c r="Y283" s="42"/>
    </row>
    <row r="284" spans="1:25" s="42" customFormat="1" ht="9" customHeight="1" x14ac:dyDescent="0.2">
      <c r="A284" s="65"/>
      <c r="B284" s="66"/>
      <c r="C284" s="67"/>
      <c r="D284" s="68"/>
      <c r="E284" s="69"/>
      <c r="F284" s="70"/>
      <c r="G284" s="71"/>
      <c r="H284" s="67"/>
      <c r="I284" s="72"/>
      <c r="J284" s="73"/>
      <c r="K284" s="74"/>
      <c r="L284" s="75"/>
      <c r="M284" s="75"/>
      <c r="N284" s="74"/>
      <c r="O284" s="75"/>
      <c r="P284" s="75"/>
      <c r="Q284" s="75"/>
      <c r="R284" s="74"/>
      <c r="S284" s="75"/>
      <c r="T284" s="76"/>
      <c r="U284" s="75"/>
      <c r="V284" s="76"/>
      <c r="W284" s="75"/>
      <c r="X284" s="77"/>
    </row>
    <row r="285" spans="1:25" s="50" customFormat="1" ht="39" customHeight="1" x14ac:dyDescent="0.2">
      <c r="A285" s="98" t="s">
        <v>130</v>
      </c>
      <c r="B285" s="161" t="s">
        <v>131</v>
      </c>
      <c r="C285" s="162"/>
      <c r="D285" s="79" t="s">
        <v>239</v>
      </c>
      <c r="E285" s="80" t="s">
        <v>49</v>
      </c>
      <c r="F285" s="161" t="s">
        <v>240</v>
      </c>
      <c r="G285" s="163"/>
      <c r="H285" s="163"/>
      <c r="I285" s="163"/>
      <c r="J285" s="162"/>
      <c r="K285" s="81">
        <f>SUM(K286:K287)</f>
        <v>986285</v>
      </c>
      <c r="L285" s="81">
        <f t="shared" ref="L285:S285" si="172">SUM(L286:L287)</f>
        <v>192191</v>
      </c>
      <c r="M285" s="81">
        <f t="shared" si="172"/>
        <v>0</v>
      </c>
      <c r="N285" s="81">
        <f t="shared" si="172"/>
        <v>1178476</v>
      </c>
      <c r="O285" s="81">
        <f t="shared" si="172"/>
        <v>0</v>
      </c>
      <c r="P285" s="81">
        <f t="shared" si="172"/>
        <v>0</v>
      </c>
      <c r="Q285" s="81">
        <f t="shared" si="172"/>
        <v>0</v>
      </c>
      <c r="R285" s="81">
        <f t="shared" si="172"/>
        <v>1178476</v>
      </c>
      <c r="S285" s="81">
        <f t="shared" si="172"/>
        <v>450756.62</v>
      </c>
      <c r="T285" s="82">
        <f>S285/R285</f>
        <v>0.3824911326153439</v>
      </c>
      <c r="U285" s="81">
        <f>SUM(U286:U287)</f>
        <v>354380.94999999995</v>
      </c>
      <c r="V285" s="82">
        <f>U285/R285</f>
        <v>0.30071121516263372</v>
      </c>
      <c r="W285" s="81">
        <f>SUM(W286:W287)</f>
        <v>337821.67</v>
      </c>
      <c r="X285" s="83">
        <f>W285/R285</f>
        <v>0.28665977924030694</v>
      </c>
      <c r="Y285" s="49"/>
    </row>
    <row r="286" spans="1:25" s="64" customFormat="1" ht="39" customHeight="1" x14ac:dyDescent="0.2">
      <c r="A286" s="91" t="s">
        <v>130</v>
      </c>
      <c r="B286" s="52" t="s">
        <v>131</v>
      </c>
      <c r="C286" s="53" t="s">
        <v>241</v>
      </c>
      <c r="D286" s="54" t="s">
        <v>239</v>
      </c>
      <c r="E286" s="55" t="s">
        <v>49</v>
      </c>
      <c r="F286" s="56" t="s">
        <v>242</v>
      </c>
      <c r="G286" s="57">
        <v>1</v>
      </c>
      <c r="H286" s="53" t="s">
        <v>134</v>
      </c>
      <c r="I286" s="97" t="s">
        <v>135</v>
      </c>
      <c r="J286" s="59">
        <v>3</v>
      </c>
      <c r="K286" s="60">
        <v>986285</v>
      </c>
      <c r="L286" s="61">
        <v>0</v>
      </c>
      <c r="M286" s="61">
        <v>0</v>
      </c>
      <c r="N286" s="60">
        <f>K286+L286-M286</f>
        <v>986285</v>
      </c>
      <c r="O286" s="61">
        <v>0</v>
      </c>
      <c r="P286" s="61">
        <v>0</v>
      </c>
      <c r="Q286" s="61">
        <v>0</v>
      </c>
      <c r="R286" s="60">
        <f>N286-O286+P286+Q286</f>
        <v>986285</v>
      </c>
      <c r="S286" s="61">
        <f>65604.78+33677.07+12419.98+65214.14+93262.41</f>
        <v>270178.38</v>
      </c>
      <c r="T286" s="62">
        <f>S286/R286</f>
        <v>0.27393540406677586</v>
      </c>
      <c r="U286" s="61">
        <f>18338.78+41245.98+51109.98+47514.64+32557.78</f>
        <v>190767.16</v>
      </c>
      <c r="V286" s="62">
        <f>U286/R286</f>
        <v>0.19341991412218579</v>
      </c>
      <c r="W286" s="61">
        <f>51442.76+38699.98+37815.75+46249.39</f>
        <v>174207.88</v>
      </c>
      <c r="X286" s="63">
        <f>W286/R286</f>
        <v>0.17663036546231567</v>
      </c>
      <c r="Y286" s="42"/>
    </row>
    <row r="287" spans="1:25" s="64" customFormat="1" ht="39" customHeight="1" x14ac:dyDescent="0.2">
      <c r="A287" s="91" t="s">
        <v>130</v>
      </c>
      <c r="B287" s="52" t="s">
        <v>131</v>
      </c>
      <c r="C287" s="53" t="s">
        <v>241</v>
      </c>
      <c r="D287" s="54" t="s">
        <v>239</v>
      </c>
      <c r="E287" s="55" t="s">
        <v>49</v>
      </c>
      <c r="F287" s="56" t="s">
        <v>242</v>
      </c>
      <c r="G287" s="57">
        <v>1</v>
      </c>
      <c r="H287" s="99" t="s">
        <v>142</v>
      </c>
      <c r="I287" s="101" t="s">
        <v>143</v>
      </c>
      <c r="J287" s="59">
        <v>3</v>
      </c>
      <c r="K287" s="60">
        <v>0</v>
      </c>
      <c r="L287" s="61">
        <f>192191</f>
        <v>192191</v>
      </c>
      <c r="M287" s="61">
        <v>0</v>
      </c>
      <c r="N287" s="60">
        <f>K287+L287-M287</f>
        <v>192191</v>
      </c>
      <c r="O287" s="61">
        <v>0</v>
      </c>
      <c r="P287" s="61">
        <v>0</v>
      </c>
      <c r="Q287" s="61">
        <v>0</v>
      </c>
      <c r="R287" s="60">
        <f>N287-O287+P287+Q287</f>
        <v>192191</v>
      </c>
      <c r="S287" s="61">
        <f>70882.39+59721.66+40943.05+9031.14</f>
        <v>180578.24</v>
      </c>
      <c r="T287" s="62">
        <f>S287/R287</f>
        <v>0.93957698331347461</v>
      </c>
      <c r="U287" s="61">
        <f>128161.95+3440.88+32010.96</f>
        <v>163613.78999999998</v>
      </c>
      <c r="V287" s="62">
        <f>U287/R287</f>
        <v>0.85130828186543583</v>
      </c>
      <c r="W287" s="61">
        <f>128161.95+3440.88+32010.96</f>
        <v>163613.78999999998</v>
      </c>
      <c r="X287" s="63">
        <f>W287/R287</f>
        <v>0.85130828186543583</v>
      </c>
      <c r="Y287" s="42"/>
    </row>
    <row r="288" spans="1:25" s="42" customFormat="1" ht="9" customHeight="1" x14ac:dyDescent="0.2">
      <c r="A288" s="65"/>
      <c r="B288" s="66"/>
      <c r="C288" s="67"/>
      <c r="D288" s="68"/>
      <c r="E288" s="69"/>
      <c r="F288" s="70"/>
      <c r="G288" s="71"/>
      <c r="H288" s="67"/>
      <c r="I288" s="72"/>
      <c r="J288" s="73"/>
      <c r="K288" s="74"/>
      <c r="L288" s="75"/>
      <c r="M288" s="75"/>
      <c r="N288" s="74"/>
      <c r="O288" s="75"/>
      <c r="P288" s="75"/>
      <c r="Q288" s="75"/>
      <c r="R288" s="74"/>
      <c r="S288" s="75"/>
      <c r="T288" s="76"/>
      <c r="U288" s="75"/>
      <c r="V288" s="76"/>
      <c r="W288" s="75"/>
      <c r="X288" s="77"/>
    </row>
    <row r="289" spans="1:25" s="50" customFormat="1" ht="39" customHeight="1" x14ac:dyDescent="0.2">
      <c r="A289" s="98" t="s">
        <v>130</v>
      </c>
      <c r="B289" s="161" t="s">
        <v>131</v>
      </c>
      <c r="C289" s="162"/>
      <c r="D289" s="79" t="s">
        <v>243</v>
      </c>
      <c r="E289" s="80" t="s">
        <v>49</v>
      </c>
      <c r="F289" s="161" t="s">
        <v>244</v>
      </c>
      <c r="G289" s="163"/>
      <c r="H289" s="163"/>
      <c r="I289" s="163"/>
      <c r="J289" s="162"/>
      <c r="K289" s="81">
        <f>K290</f>
        <v>1089755</v>
      </c>
      <c r="L289" s="81">
        <f t="shared" ref="L289:S289" si="173">L290</f>
        <v>0</v>
      </c>
      <c r="M289" s="81">
        <f t="shared" si="173"/>
        <v>0</v>
      </c>
      <c r="N289" s="81">
        <f t="shared" si="173"/>
        <v>1089755</v>
      </c>
      <c r="O289" s="81">
        <f t="shared" si="173"/>
        <v>0</v>
      </c>
      <c r="P289" s="81">
        <f t="shared" si="173"/>
        <v>0</v>
      </c>
      <c r="Q289" s="81">
        <f t="shared" si="173"/>
        <v>0</v>
      </c>
      <c r="R289" s="81">
        <f t="shared" si="173"/>
        <v>1089755</v>
      </c>
      <c r="S289" s="81">
        <f t="shared" si="173"/>
        <v>284998.34999999998</v>
      </c>
      <c r="T289" s="82">
        <f>S289/R289</f>
        <v>0.26152515932480236</v>
      </c>
      <c r="U289" s="81">
        <f>U290</f>
        <v>279349.34999999998</v>
      </c>
      <c r="V289" s="82">
        <f t="shared" ref="V289" si="174">U289/R289</f>
        <v>0.25634142536625204</v>
      </c>
      <c r="W289" s="81">
        <f>W290</f>
        <v>279349.34999999998</v>
      </c>
      <c r="X289" s="83">
        <f t="shared" ref="X289:X290" si="175">W289/R289</f>
        <v>0.25634142536625204</v>
      </c>
      <c r="Y289" s="49"/>
    </row>
    <row r="290" spans="1:25" s="64" customFormat="1" ht="39" customHeight="1" x14ac:dyDescent="0.2">
      <c r="A290" s="91" t="s">
        <v>130</v>
      </c>
      <c r="B290" s="52" t="s">
        <v>131</v>
      </c>
      <c r="C290" s="53" t="s">
        <v>245</v>
      </c>
      <c r="D290" s="54" t="s">
        <v>243</v>
      </c>
      <c r="E290" s="55" t="s">
        <v>49</v>
      </c>
      <c r="F290" s="56" t="s">
        <v>244</v>
      </c>
      <c r="G290" s="57">
        <v>1</v>
      </c>
      <c r="H290" s="53" t="s">
        <v>134</v>
      </c>
      <c r="I290" s="97" t="s">
        <v>135</v>
      </c>
      <c r="J290" s="59">
        <v>3</v>
      </c>
      <c r="K290" s="60">
        <v>1089755</v>
      </c>
      <c r="L290" s="61">
        <v>0</v>
      </c>
      <c r="M290" s="61">
        <v>0</v>
      </c>
      <c r="N290" s="60">
        <f t="shared" ref="N290" si="176">K290+L290-M290</f>
        <v>1089755</v>
      </c>
      <c r="O290" s="61">
        <v>0</v>
      </c>
      <c r="P290" s="61">
        <v>0</v>
      </c>
      <c r="Q290" s="61">
        <v>0</v>
      </c>
      <c r="R290" s="60">
        <f t="shared" ref="R290" si="177">N290-O290+P290+Q290</f>
        <v>1089755</v>
      </c>
      <c r="S290" s="61">
        <f>42291.67+43101.67+2730+154583.34+42291.67</f>
        <v>284998.34999999998</v>
      </c>
      <c r="T290" s="62">
        <f>S290/R290</f>
        <v>0.26152515932480236</v>
      </c>
      <c r="U290" s="61">
        <f>84583.34+152474.34+42291.67</f>
        <v>279349.34999999998</v>
      </c>
      <c r="V290" s="62">
        <f t="shared" si="153"/>
        <v>0.25634142536625204</v>
      </c>
      <c r="W290" s="61">
        <f>84583.34+152474.34+42291.67</f>
        <v>279349.34999999998</v>
      </c>
      <c r="X290" s="63">
        <f t="shared" si="175"/>
        <v>0.25634142536625204</v>
      </c>
      <c r="Y290" s="42"/>
    </row>
    <row r="291" spans="1:25" s="42" customFormat="1" ht="9" customHeight="1" x14ac:dyDescent="0.2">
      <c r="A291" s="65"/>
      <c r="B291" s="66"/>
      <c r="C291" s="67"/>
      <c r="D291" s="68"/>
      <c r="E291" s="69"/>
      <c r="F291" s="70"/>
      <c r="G291" s="71"/>
      <c r="H291" s="67"/>
      <c r="I291" s="72"/>
      <c r="J291" s="73"/>
      <c r="K291" s="74"/>
      <c r="L291" s="75"/>
      <c r="M291" s="75"/>
      <c r="N291" s="74"/>
      <c r="O291" s="75"/>
      <c r="P291" s="75"/>
      <c r="Q291" s="75"/>
      <c r="R291" s="74"/>
      <c r="S291" s="75"/>
      <c r="T291" s="76"/>
      <c r="U291" s="75"/>
      <c r="V291" s="76"/>
      <c r="W291" s="75"/>
      <c r="X291" s="77"/>
    </row>
    <row r="292" spans="1:25" s="50" customFormat="1" ht="39" customHeight="1" x14ac:dyDescent="0.2">
      <c r="A292" s="98" t="s">
        <v>130</v>
      </c>
      <c r="B292" s="161" t="s">
        <v>131</v>
      </c>
      <c r="C292" s="162"/>
      <c r="D292" s="79" t="s">
        <v>246</v>
      </c>
      <c r="E292" s="80" t="s">
        <v>73</v>
      </c>
      <c r="F292" s="161" t="s">
        <v>100</v>
      </c>
      <c r="G292" s="163"/>
      <c r="H292" s="163"/>
      <c r="I292" s="163"/>
      <c r="J292" s="162"/>
      <c r="K292" s="81">
        <f>SUM(K293:K294)</f>
        <v>9570566</v>
      </c>
      <c r="L292" s="81">
        <f t="shared" ref="L292:S292" si="178">SUM(L293:L294)</f>
        <v>0</v>
      </c>
      <c r="M292" s="81">
        <f t="shared" si="178"/>
        <v>0</v>
      </c>
      <c r="N292" s="81">
        <f t="shared" si="178"/>
        <v>9570566</v>
      </c>
      <c r="O292" s="81">
        <f t="shared" si="178"/>
        <v>0</v>
      </c>
      <c r="P292" s="81">
        <f t="shared" si="178"/>
        <v>0</v>
      </c>
      <c r="Q292" s="81">
        <f t="shared" si="178"/>
        <v>0</v>
      </c>
      <c r="R292" s="81">
        <f t="shared" si="178"/>
        <v>9570566</v>
      </c>
      <c r="S292" s="81">
        <f t="shared" si="178"/>
        <v>4137510</v>
      </c>
      <c r="T292" s="82">
        <f>S292/R292</f>
        <v>0.43231612425012272</v>
      </c>
      <c r="U292" s="81">
        <f t="shared" ref="U292" si="179">SUM(U293:U294)</f>
        <v>4111161.3</v>
      </c>
      <c r="V292" s="82">
        <f t="shared" ref="V292" si="180">U292/R292</f>
        <v>0.4295630268889008</v>
      </c>
      <c r="W292" s="81">
        <f>SUM(W293:W294)</f>
        <v>4110844.61</v>
      </c>
      <c r="X292" s="83">
        <f t="shared" ref="X292:X315" si="181">W292/R292</f>
        <v>0.42952993689192465</v>
      </c>
      <c r="Y292" s="49"/>
    </row>
    <row r="293" spans="1:25" s="64" customFormat="1" ht="39" customHeight="1" x14ac:dyDescent="0.2">
      <c r="A293" s="91" t="s">
        <v>130</v>
      </c>
      <c r="B293" s="52" t="s">
        <v>131</v>
      </c>
      <c r="C293" s="53" t="s">
        <v>101</v>
      </c>
      <c r="D293" s="54" t="s">
        <v>246</v>
      </c>
      <c r="E293" s="55" t="s">
        <v>73</v>
      </c>
      <c r="F293" s="56" t="s">
        <v>247</v>
      </c>
      <c r="G293" s="57">
        <v>1</v>
      </c>
      <c r="H293" s="53" t="s">
        <v>76</v>
      </c>
      <c r="I293" s="58" t="s">
        <v>77</v>
      </c>
      <c r="J293" s="59">
        <v>3</v>
      </c>
      <c r="K293" s="60">
        <v>1095630</v>
      </c>
      <c r="L293" s="61">
        <v>0</v>
      </c>
      <c r="M293" s="61">
        <v>0</v>
      </c>
      <c r="N293" s="60">
        <f t="shared" ref="N293:N297" si="182">K293+L293-M293</f>
        <v>1095630</v>
      </c>
      <c r="O293" s="61">
        <v>0</v>
      </c>
      <c r="P293" s="61">
        <v>0</v>
      </c>
      <c r="Q293" s="61">
        <v>0</v>
      </c>
      <c r="R293" s="60">
        <f t="shared" ref="R293:R315" si="183">N293-O293+P293+Q293</f>
        <v>1095630</v>
      </c>
      <c r="S293" s="61">
        <f>530000</f>
        <v>530000</v>
      </c>
      <c r="T293" s="62">
        <f>S293/R293</f>
        <v>0.48373994870531112</v>
      </c>
      <c r="U293" s="61">
        <f>530000</f>
        <v>530000</v>
      </c>
      <c r="V293" s="62">
        <f t="shared" si="153"/>
        <v>0.48373994870531112</v>
      </c>
      <c r="W293" s="61">
        <f>530000</f>
        <v>530000</v>
      </c>
      <c r="X293" s="63">
        <f t="shared" si="181"/>
        <v>0.48373994870531112</v>
      </c>
      <c r="Y293" s="42"/>
    </row>
    <row r="294" spans="1:25" s="64" customFormat="1" ht="39" customHeight="1" x14ac:dyDescent="0.2">
      <c r="A294" s="91" t="s">
        <v>130</v>
      </c>
      <c r="B294" s="52" t="s">
        <v>131</v>
      </c>
      <c r="C294" s="53" t="s">
        <v>101</v>
      </c>
      <c r="D294" s="54" t="s">
        <v>246</v>
      </c>
      <c r="E294" s="55" t="s">
        <v>73</v>
      </c>
      <c r="F294" s="56" t="s">
        <v>247</v>
      </c>
      <c r="G294" s="57">
        <v>1</v>
      </c>
      <c r="H294" s="53" t="s">
        <v>134</v>
      </c>
      <c r="I294" s="97" t="s">
        <v>135</v>
      </c>
      <c r="J294" s="59">
        <v>3</v>
      </c>
      <c r="K294" s="60">
        <v>8474936</v>
      </c>
      <c r="L294" s="61">
        <v>0</v>
      </c>
      <c r="M294" s="61">
        <v>0</v>
      </c>
      <c r="N294" s="60">
        <f t="shared" si="182"/>
        <v>8474936</v>
      </c>
      <c r="O294" s="61">
        <v>0</v>
      </c>
      <c r="P294" s="61">
        <v>0</v>
      </c>
      <c r="Q294" s="61">
        <v>0</v>
      </c>
      <c r="R294" s="60">
        <f t="shared" si="183"/>
        <v>8474936</v>
      </c>
      <c r="S294" s="61">
        <f>572510+901000+884000+890000+360000</f>
        <v>3607510</v>
      </c>
      <c r="T294" s="62">
        <f>S294/R294</f>
        <v>0.42566811124001408</v>
      </c>
      <c r="U294" s="61">
        <f>572510+884146.2+884468.93+882345.93+357690.24</f>
        <v>3581161.3</v>
      </c>
      <c r="V294" s="62">
        <f t="shared" si="153"/>
        <v>0.42255909661146701</v>
      </c>
      <c r="W294" s="61">
        <f>572510+884146.2+884468.93+882345.93+357373.55</f>
        <v>3580844.61</v>
      </c>
      <c r="X294" s="63">
        <f t="shared" si="181"/>
        <v>0.42252172877765681</v>
      </c>
      <c r="Y294" s="42"/>
    </row>
    <row r="295" spans="1:25" s="42" customFormat="1" ht="9" customHeight="1" x14ac:dyDescent="0.2">
      <c r="A295" s="65"/>
      <c r="B295" s="66"/>
      <c r="C295" s="67"/>
      <c r="D295" s="68"/>
      <c r="E295" s="69"/>
      <c r="F295" s="70"/>
      <c r="G295" s="71"/>
      <c r="H295" s="67"/>
      <c r="I295" s="72"/>
      <c r="J295" s="73"/>
      <c r="K295" s="74"/>
      <c r="L295" s="75"/>
      <c r="M295" s="75"/>
      <c r="N295" s="74"/>
      <c r="O295" s="75"/>
      <c r="P295" s="75"/>
      <c r="Q295" s="75"/>
      <c r="R295" s="74"/>
      <c r="S295" s="75"/>
      <c r="T295" s="76"/>
      <c r="U295" s="75"/>
      <c r="V295" s="76"/>
      <c r="W295" s="75"/>
      <c r="X295" s="77"/>
    </row>
    <row r="296" spans="1:25" s="50" customFormat="1" ht="39" customHeight="1" x14ac:dyDescent="0.2">
      <c r="A296" s="98" t="s">
        <v>130</v>
      </c>
      <c r="B296" s="161" t="s">
        <v>131</v>
      </c>
      <c r="C296" s="162"/>
      <c r="D296" s="79" t="s">
        <v>248</v>
      </c>
      <c r="E296" s="80" t="s">
        <v>73</v>
      </c>
      <c r="F296" s="161" t="s">
        <v>249</v>
      </c>
      <c r="G296" s="163"/>
      <c r="H296" s="163"/>
      <c r="I296" s="163"/>
      <c r="J296" s="162"/>
      <c r="K296" s="81">
        <f>SUM(K297:K297)</f>
        <v>889647</v>
      </c>
      <c r="L296" s="81">
        <f t="shared" ref="L296:S296" si="184">SUM(L297:L297)</f>
        <v>0</v>
      </c>
      <c r="M296" s="81">
        <f t="shared" si="184"/>
        <v>0</v>
      </c>
      <c r="N296" s="81">
        <f t="shared" si="184"/>
        <v>889647</v>
      </c>
      <c r="O296" s="81">
        <f t="shared" si="184"/>
        <v>0</v>
      </c>
      <c r="P296" s="81">
        <f t="shared" si="184"/>
        <v>0</v>
      </c>
      <c r="Q296" s="81">
        <f t="shared" si="184"/>
        <v>0</v>
      </c>
      <c r="R296" s="81">
        <f t="shared" si="184"/>
        <v>889647</v>
      </c>
      <c r="S296" s="81">
        <f t="shared" si="184"/>
        <v>319000</v>
      </c>
      <c r="T296" s="82">
        <f>S296/R296</f>
        <v>0.35856918530608206</v>
      </c>
      <c r="U296" s="81">
        <f>SUM(U297:U297)</f>
        <v>313022.99</v>
      </c>
      <c r="V296" s="82">
        <f t="shared" ref="V296" si="185">U296/R296</f>
        <v>0.35185077901684597</v>
      </c>
      <c r="W296" s="81">
        <f>SUM(W297:W297)</f>
        <v>313022.99</v>
      </c>
      <c r="X296" s="83">
        <f t="shared" ref="X296" si="186">W296/R296</f>
        <v>0.35185077901684597</v>
      </c>
      <c r="Y296" s="49"/>
    </row>
    <row r="297" spans="1:25" s="64" customFormat="1" ht="39" customHeight="1" x14ac:dyDescent="0.2">
      <c r="A297" s="91" t="s">
        <v>130</v>
      </c>
      <c r="B297" s="52" t="s">
        <v>131</v>
      </c>
      <c r="C297" s="53" t="s">
        <v>101</v>
      </c>
      <c r="D297" s="54" t="s">
        <v>248</v>
      </c>
      <c r="E297" s="55" t="s">
        <v>73</v>
      </c>
      <c r="F297" s="56" t="s">
        <v>250</v>
      </c>
      <c r="G297" s="57">
        <v>1</v>
      </c>
      <c r="H297" s="53" t="s">
        <v>134</v>
      </c>
      <c r="I297" s="97" t="s">
        <v>135</v>
      </c>
      <c r="J297" s="59">
        <v>3</v>
      </c>
      <c r="K297" s="60">
        <v>889647</v>
      </c>
      <c r="L297" s="61">
        <v>0</v>
      </c>
      <c r="M297" s="61">
        <v>0</v>
      </c>
      <c r="N297" s="60">
        <f t="shared" si="182"/>
        <v>889647</v>
      </c>
      <c r="O297" s="61">
        <v>0</v>
      </c>
      <c r="P297" s="61">
        <v>0</v>
      </c>
      <c r="Q297" s="61">
        <v>0</v>
      </c>
      <c r="R297" s="60">
        <f t="shared" si="183"/>
        <v>889647</v>
      </c>
      <c r="S297" s="61">
        <f>81000+78000+80000+80000</f>
        <v>319000</v>
      </c>
      <c r="T297" s="62">
        <f>S297/R297</f>
        <v>0.35856918530608206</v>
      </c>
      <c r="U297" s="61">
        <f>77583.53+78875.84+78005.17+78558.45</f>
        <v>313022.99</v>
      </c>
      <c r="V297" s="62">
        <f t="shared" si="153"/>
        <v>0.35185077901684597</v>
      </c>
      <c r="W297" s="61">
        <f>77583.53+78875.84+77788.46+78775.16</f>
        <v>313022.99</v>
      </c>
      <c r="X297" s="63">
        <f t="shared" si="181"/>
        <v>0.35185077901684597</v>
      </c>
      <c r="Y297" s="42"/>
    </row>
    <row r="298" spans="1:25" s="42" customFormat="1" ht="9" customHeight="1" x14ac:dyDescent="0.2">
      <c r="A298" s="65"/>
      <c r="B298" s="66"/>
      <c r="C298" s="67"/>
      <c r="D298" s="68"/>
      <c r="E298" s="69"/>
      <c r="F298" s="70"/>
      <c r="G298" s="71"/>
      <c r="H298" s="67"/>
      <c r="I298" s="72"/>
      <c r="J298" s="73"/>
      <c r="K298" s="74"/>
      <c r="L298" s="75"/>
      <c r="M298" s="75"/>
      <c r="N298" s="74"/>
      <c r="O298" s="75"/>
      <c r="P298" s="75"/>
      <c r="Q298" s="75"/>
      <c r="R298" s="74"/>
      <c r="S298" s="75"/>
      <c r="T298" s="76"/>
      <c r="U298" s="75"/>
      <c r="V298" s="76"/>
      <c r="W298" s="75"/>
      <c r="X298" s="77"/>
    </row>
    <row r="299" spans="1:25" s="50" customFormat="1" ht="39" customHeight="1" x14ac:dyDescent="0.2">
      <c r="A299" s="98" t="s">
        <v>130</v>
      </c>
      <c r="B299" s="161" t="s">
        <v>131</v>
      </c>
      <c r="C299" s="162"/>
      <c r="D299" s="79" t="s">
        <v>251</v>
      </c>
      <c r="E299" s="80" t="s">
        <v>73</v>
      </c>
      <c r="F299" s="161" t="s">
        <v>252</v>
      </c>
      <c r="G299" s="163"/>
      <c r="H299" s="163"/>
      <c r="I299" s="163"/>
      <c r="J299" s="162"/>
      <c r="K299" s="81">
        <f>SUM(K300:K300)</f>
        <v>4448212</v>
      </c>
      <c r="L299" s="81">
        <f t="shared" ref="L299:S299" si="187">SUM(L300:L300)</f>
        <v>0</v>
      </c>
      <c r="M299" s="81">
        <f t="shared" si="187"/>
        <v>0</v>
      </c>
      <c r="N299" s="81">
        <f t="shared" si="187"/>
        <v>4448212</v>
      </c>
      <c r="O299" s="81">
        <f t="shared" si="187"/>
        <v>0</v>
      </c>
      <c r="P299" s="81">
        <f t="shared" si="187"/>
        <v>0</v>
      </c>
      <c r="Q299" s="81">
        <f t="shared" si="187"/>
        <v>0</v>
      </c>
      <c r="R299" s="81">
        <f t="shared" si="187"/>
        <v>4448212</v>
      </c>
      <c r="S299" s="81">
        <f t="shared" si="187"/>
        <v>1425000</v>
      </c>
      <c r="T299" s="82">
        <f>S299/R299</f>
        <v>0.3203534363919705</v>
      </c>
      <c r="U299" s="81">
        <f>SUM(U300:U300)</f>
        <v>1408630.0699999998</v>
      </c>
      <c r="V299" s="82">
        <f t="shared" ref="V299" si="188">U299/R299</f>
        <v>0.31667332177513119</v>
      </c>
      <c r="W299" s="81">
        <f>SUM(W300:W300)</f>
        <v>1408630.0699999998</v>
      </c>
      <c r="X299" s="83">
        <f t="shared" ref="X299" si="189">W299/R299</f>
        <v>0.31667332177513119</v>
      </c>
      <c r="Y299" s="49"/>
    </row>
    <row r="300" spans="1:25" s="64" customFormat="1" ht="39" customHeight="1" x14ac:dyDescent="0.2">
      <c r="A300" s="91" t="s">
        <v>130</v>
      </c>
      <c r="B300" s="52" t="s">
        <v>131</v>
      </c>
      <c r="C300" s="53" t="s">
        <v>101</v>
      </c>
      <c r="D300" s="54" t="s">
        <v>251</v>
      </c>
      <c r="E300" s="55" t="s">
        <v>73</v>
      </c>
      <c r="F300" s="56" t="s">
        <v>253</v>
      </c>
      <c r="G300" s="57">
        <v>1</v>
      </c>
      <c r="H300" s="53" t="s">
        <v>134</v>
      </c>
      <c r="I300" s="97" t="s">
        <v>135</v>
      </c>
      <c r="J300" s="59">
        <v>3</v>
      </c>
      <c r="K300" s="60">
        <v>4448212</v>
      </c>
      <c r="L300" s="61">
        <v>0</v>
      </c>
      <c r="M300" s="61">
        <v>0</v>
      </c>
      <c r="N300" s="60">
        <f>K300+L300-M300</f>
        <v>4448212</v>
      </c>
      <c r="O300" s="61">
        <v>0</v>
      </c>
      <c r="P300" s="61">
        <v>0</v>
      </c>
      <c r="Q300" s="61">
        <v>0</v>
      </c>
      <c r="R300" s="60">
        <f t="shared" si="183"/>
        <v>4448212</v>
      </c>
      <c r="S300" s="61">
        <f>401000+313000+351000+360000</f>
        <v>1425000</v>
      </c>
      <c r="T300" s="62">
        <f t="shared" ref="T300" si="190">S300/R300</f>
        <v>0.3203534363919705</v>
      </c>
      <c r="U300" s="61">
        <f>352481.19+353646.3+348954.94+353547.64</f>
        <v>1408630.0699999998</v>
      </c>
      <c r="V300" s="62">
        <f t="shared" si="153"/>
        <v>0.31667332177513119</v>
      </c>
      <c r="W300" s="61">
        <f>352481.19+353329.58+349271.66+353547.64</f>
        <v>1408630.0699999998</v>
      </c>
      <c r="X300" s="63">
        <f t="shared" si="181"/>
        <v>0.31667332177513119</v>
      </c>
      <c r="Y300" s="42"/>
    </row>
    <row r="301" spans="1:25" s="42" customFormat="1" ht="9" customHeight="1" x14ac:dyDescent="0.2">
      <c r="A301" s="65"/>
      <c r="B301" s="66"/>
      <c r="C301" s="67"/>
      <c r="D301" s="68"/>
      <c r="E301" s="69"/>
      <c r="F301" s="70"/>
      <c r="G301" s="71"/>
      <c r="H301" s="67"/>
      <c r="I301" s="72"/>
      <c r="J301" s="73"/>
      <c r="K301" s="74"/>
      <c r="L301" s="75"/>
      <c r="M301" s="75"/>
      <c r="N301" s="74"/>
      <c r="O301" s="75"/>
      <c r="P301" s="75"/>
      <c r="Q301" s="75"/>
      <c r="R301" s="74"/>
      <c r="S301" s="75"/>
      <c r="T301" s="76"/>
      <c r="U301" s="75"/>
      <c r="V301" s="76"/>
      <c r="W301" s="75"/>
      <c r="X301" s="77"/>
    </row>
    <row r="302" spans="1:25" s="50" customFormat="1" ht="39" customHeight="1" x14ac:dyDescent="0.2">
      <c r="A302" s="98" t="s">
        <v>130</v>
      </c>
      <c r="B302" s="161" t="s">
        <v>131</v>
      </c>
      <c r="C302" s="162"/>
      <c r="D302" s="79" t="s">
        <v>254</v>
      </c>
      <c r="E302" s="80" t="s">
        <v>73</v>
      </c>
      <c r="F302" s="161" t="s">
        <v>255</v>
      </c>
      <c r="G302" s="163"/>
      <c r="H302" s="163"/>
      <c r="I302" s="163"/>
      <c r="J302" s="162"/>
      <c r="K302" s="81">
        <f>SUM(K303:K305)</f>
        <v>342095</v>
      </c>
      <c r="L302" s="81">
        <f t="shared" ref="L302:S302" si="191">SUM(L303:L305)</f>
        <v>100000</v>
      </c>
      <c r="M302" s="81">
        <f t="shared" si="191"/>
        <v>0</v>
      </c>
      <c r="N302" s="81">
        <f t="shared" si="191"/>
        <v>442095</v>
      </c>
      <c r="O302" s="81">
        <f t="shared" si="191"/>
        <v>0</v>
      </c>
      <c r="P302" s="81">
        <f t="shared" si="191"/>
        <v>0</v>
      </c>
      <c r="Q302" s="81">
        <f t="shared" si="191"/>
        <v>0</v>
      </c>
      <c r="R302" s="81">
        <f t="shared" si="191"/>
        <v>442095</v>
      </c>
      <c r="S302" s="81">
        <f t="shared" si="191"/>
        <v>87787.81</v>
      </c>
      <c r="T302" s="82">
        <f>S302/R302</f>
        <v>0.19857227518972165</v>
      </c>
      <c r="U302" s="81">
        <f>SUM(U303:U305)</f>
        <v>77808.03</v>
      </c>
      <c r="V302" s="82">
        <f t="shared" ref="V302:V303" si="192">U302/R302</f>
        <v>0.17599843924948258</v>
      </c>
      <c r="W302" s="81">
        <f>SUM(W303:W305)</f>
        <v>73141.37000000001</v>
      </c>
      <c r="X302" s="83">
        <f t="shared" ref="X302:X303" si="193">W302/R302</f>
        <v>0.16544265372827111</v>
      </c>
      <c r="Y302" s="49"/>
    </row>
    <row r="303" spans="1:25" s="64" customFormat="1" ht="39" customHeight="1" x14ac:dyDescent="0.2">
      <c r="A303" s="91" t="s">
        <v>130</v>
      </c>
      <c r="B303" s="52" t="s">
        <v>131</v>
      </c>
      <c r="C303" s="53" t="s">
        <v>108</v>
      </c>
      <c r="D303" s="54" t="s">
        <v>254</v>
      </c>
      <c r="E303" s="55" t="s">
        <v>73</v>
      </c>
      <c r="F303" s="56" t="s">
        <v>255</v>
      </c>
      <c r="G303" s="57">
        <v>1</v>
      </c>
      <c r="H303" s="53" t="s">
        <v>52</v>
      </c>
      <c r="I303" s="58" t="s">
        <v>53</v>
      </c>
      <c r="J303" s="59">
        <v>4</v>
      </c>
      <c r="K303" s="60">
        <v>20000</v>
      </c>
      <c r="L303" s="61">
        <v>0</v>
      </c>
      <c r="M303" s="61">
        <v>0</v>
      </c>
      <c r="N303" s="60">
        <f>K303+L303-M303</f>
        <v>20000</v>
      </c>
      <c r="O303" s="61">
        <v>0</v>
      </c>
      <c r="P303" s="61">
        <v>0</v>
      </c>
      <c r="Q303" s="61">
        <v>0</v>
      </c>
      <c r="R303" s="60">
        <f>N303-O303+P303+Q303</f>
        <v>20000</v>
      </c>
      <c r="S303" s="61">
        <v>0</v>
      </c>
      <c r="T303" s="62">
        <f>S303/R303</f>
        <v>0</v>
      </c>
      <c r="U303" s="61">
        <v>0</v>
      </c>
      <c r="V303" s="62">
        <f t="shared" si="192"/>
        <v>0</v>
      </c>
      <c r="W303" s="61">
        <v>0</v>
      </c>
      <c r="X303" s="63">
        <f t="shared" si="193"/>
        <v>0</v>
      </c>
      <c r="Y303" s="42"/>
    </row>
    <row r="304" spans="1:25" s="64" customFormat="1" ht="39" customHeight="1" x14ac:dyDescent="0.2">
      <c r="A304" s="91" t="s">
        <v>130</v>
      </c>
      <c r="B304" s="52" t="s">
        <v>131</v>
      </c>
      <c r="C304" s="107" t="s">
        <v>108</v>
      </c>
      <c r="D304" s="54" t="s">
        <v>254</v>
      </c>
      <c r="E304" s="108" t="s">
        <v>73</v>
      </c>
      <c r="F304" s="109" t="s">
        <v>255</v>
      </c>
      <c r="G304" s="57">
        <v>1</v>
      </c>
      <c r="H304" s="53" t="s">
        <v>134</v>
      </c>
      <c r="I304" s="97" t="s">
        <v>135</v>
      </c>
      <c r="J304" s="59">
        <v>3</v>
      </c>
      <c r="K304" s="60">
        <v>322095</v>
      </c>
      <c r="L304" s="61">
        <v>0</v>
      </c>
      <c r="M304" s="61">
        <v>0</v>
      </c>
      <c r="N304" s="60">
        <f>K304+L304-M304</f>
        <v>322095</v>
      </c>
      <c r="O304" s="61">
        <v>0</v>
      </c>
      <c r="P304" s="61">
        <v>0</v>
      </c>
      <c r="Q304" s="61">
        <v>0</v>
      </c>
      <c r="R304" s="60">
        <f>N304-O304+P304+Q304</f>
        <v>322095</v>
      </c>
      <c r="S304" s="61">
        <f>2185+39831.18+10764.66+23246.77+11760.2</f>
        <v>87787.81</v>
      </c>
      <c r="T304" s="62">
        <f>S304/R304</f>
        <v>0.27255253884723452</v>
      </c>
      <c r="U304" s="61">
        <f>2185+36425.5+10011.81+15850.25+13335.47</f>
        <v>77808.03</v>
      </c>
      <c r="V304" s="62">
        <f t="shared" si="153"/>
        <v>0.24156857448889302</v>
      </c>
      <c r="W304" s="61">
        <f>2185+36191.8+10245.51+15850.25+8668.81</f>
        <v>73141.37000000001</v>
      </c>
      <c r="X304" s="63">
        <f t="shared" si="181"/>
        <v>0.22708011611481088</v>
      </c>
      <c r="Y304" s="42"/>
    </row>
    <row r="305" spans="1:25" s="64" customFormat="1" ht="39" customHeight="1" x14ac:dyDescent="0.2">
      <c r="A305" s="91" t="s">
        <v>130</v>
      </c>
      <c r="B305" s="52" t="s">
        <v>131</v>
      </c>
      <c r="C305" s="107" t="s">
        <v>108</v>
      </c>
      <c r="D305" s="54" t="s">
        <v>254</v>
      </c>
      <c r="E305" s="108" t="s">
        <v>73</v>
      </c>
      <c r="F305" s="109" t="s">
        <v>255</v>
      </c>
      <c r="G305" s="57">
        <v>1</v>
      </c>
      <c r="H305" s="84" t="s">
        <v>61</v>
      </c>
      <c r="I305" s="85" t="s">
        <v>62</v>
      </c>
      <c r="J305" s="59">
        <v>3</v>
      </c>
      <c r="K305" s="60">
        <v>0</v>
      </c>
      <c r="L305" s="61">
        <f>100000</f>
        <v>100000</v>
      </c>
      <c r="M305" s="61">
        <v>0</v>
      </c>
      <c r="N305" s="60">
        <f>K305+L305-M305</f>
        <v>100000</v>
      </c>
      <c r="O305" s="61">
        <v>0</v>
      </c>
      <c r="P305" s="61">
        <v>0</v>
      </c>
      <c r="Q305" s="61">
        <v>0</v>
      </c>
      <c r="R305" s="60">
        <f>N305-O305+P305+Q305</f>
        <v>100000</v>
      </c>
      <c r="S305" s="61">
        <v>0</v>
      </c>
      <c r="T305" s="62">
        <f>S305/R305</f>
        <v>0</v>
      </c>
      <c r="U305" s="61">
        <v>0</v>
      </c>
      <c r="V305" s="62">
        <f t="shared" si="153"/>
        <v>0</v>
      </c>
      <c r="W305" s="61">
        <v>0</v>
      </c>
      <c r="X305" s="63">
        <f t="shared" si="181"/>
        <v>0</v>
      </c>
      <c r="Y305" s="42"/>
    </row>
    <row r="306" spans="1:25" s="42" customFormat="1" ht="9" customHeight="1" x14ac:dyDescent="0.2">
      <c r="A306" s="65"/>
      <c r="B306" s="66"/>
      <c r="C306" s="67"/>
      <c r="D306" s="68"/>
      <c r="E306" s="69"/>
      <c r="F306" s="70"/>
      <c r="G306" s="71"/>
      <c r="H306" s="67"/>
      <c r="I306" s="72"/>
      <c r="J306" s="73"/>
      <c r="K306" s="74"/>
      <c r="L306" s="75"/>
      <c r="M306" s="75"/>
      <c r="N306" s="74"/>
      <c r="O306" s="75"/>
      <c r="P306" s="75"/>
      <c r="Q306" s="75"/>
      <c r="R306" s="74"/>
      <c r="S306" s="75"/>
      <c r="T306" s="76"/>
      <c r="U306" s="75"/>
      <c r="V306" s="76"/>
      <c r="W306" s="75"/>
      <c r="X306" s="77"/>
    </row>
    <row r="307" spans="1:25" s="50" customFormat="1" ht="39" customHeight="1" x14ac:dyDescent="0.2">
      <c r="A307" s="78" t="s">
        <v>130</v>
      </c>
      <c r="B307" s="161" t="s">
        <v>131</v>
      </c>
      <c r="C307" s="162"/>
      <c r="D307" s="79" t="s">
        <v>256</v>
      </c>
      <c r="E307" s="80" t="s">
        <v>73</v>
      </c>
      <c r="F307" s="161" t="s">
        <v>107</v>
      </c>
      <c r="G307" s="163"/>
      <c r="H307" s="163"/>
      <c r="I307" s="163"/>
      <c r="J307" s="162"/>
      <c r="K307" s="81">
        <f>SUM(K308:K309)</f>
        <v>25387528</v>
      </c>
      <c r="L307" s="81">
        <f t="shared" ref="L307:S307" si="194">SUM(L308:L309)</f>
        <v>0</v>
      </c>
      <c r="M307" s="81">
        <f t="shared" si="194"/>
        <v>0</v>
      </c>
      <c r="N307" s="81">
        <f t="shared" si="194"/>
        <v>25387528</v>
      </c>
      <c r="O307" s="81">
        <f t="shared" si="194"/>
        <v>0</v>
      </c>
      <c r="P307" s="81">
        <f t="shared" si="194"/>
        <v>0</v>
      </c>
      <c r="Q307" s="81">
        <f t="shared" si="194"/>
        <v>0</v>
      </c>
      <c r="R307" s="81">
        <f t="shared" si="194"/>
        <v>25387528</v>
      </c>
      <c r="S307" s="81">
        <f t="shared" si="194"/>
        <v>500000</v>
      </c>
      <c r="T307" s="82">
        <f>S307/R307</f>
        <v>1.9694709937887613E-2</v>
      </c>
      <c r="U307" s="81">
        <f t="shared" ref="U307" si="195">SUM(U308:U309)</f>
        <v>500000</v>
      </c>
      <c r="V307" s="82">
        <f t="shared" ref="V307" si="196">U307/R307</f>
        <v>1.9694709937887613E-2</v>
      </c>
      <c r="W307" s="81">
        <f>SUM(W308:W309)</f>
        <v>500000</v>
      </c>
      <c r="X307" s="83">
        <f t="shared" ref="X307" si="197">W307/R307</f>
        <v>1.9694709937887613E-2</v>
      </c>
      <c r="Y307" s="49"/>
    </row>
    <row r="308" spans="1:25" s="64" customFormat="1" ht="39" customHeight="1" x14ac:dyDescent="0.2">
      <c r="A308" s="51" t="s">
        <v>130</v>
      </c>
      <c r="B308" s="52" t="s">
        <v>131</v>
      </c>
      <c r="C308" s="53" t="s">
        <v>108</v>
      </c>
      <c r="D308" s="54" t="s">
        <v>256</v>
      </c>
      <c r="E308" s="55" t="s">
        <v>73</v>
      </c>
      <c r="F308" s="56" t="s">
        <v>107</v>
      </c>
      <c r="G308" s="57">
        <v>1</v>
      </c>
      <c r="H308" s="53" t="s">
        <v>76</v>
      </c>
      <c r="I308" s="58" t="s">
        <v>77</v>
      </c>
      <c r="J308" s="59">
        <v>3</v>
      </c>
      <c r="K308" s="60">
        <v>5207356</v>
      </c>
      <c r="L308" s="61">
        <v>0</v>
      </c>
      <c r="M308" s="61">
        <v>0</v>
      </c>
      <c r="N308" s="60">
        <f t="shared" ref="N308:N315" si="198">K308+L308-M308</f>
        <v>5207356</v>
      </c>
      <c r="O308" s="61">
        <v>0</v>
      </c>
      <c r="P308" s="61">
        <v>0</v>
      </c>
      <c r="Q308" s="61">
        <v>0</v>
      </c>
      <c r="R308" s="60">
        <f t="shared" si="183"/>
        <v>5207356</v>
      </c>
      <c r="S308" s="61">
        <v>0</v>
      </c>
      <c r="T308" s="62">
        <f>S308/R308</f>
        <v>0</v>
      </c>
      <c r="U308" s="61">
        <v>0</v>
      </c>
      <c r="V308" s="62">
        <f t="shared" si="153"/>
        <v>0</v>
      </c>
      <c r="W308" s="61">
        <v>0</v>
      </c>
      <c r="X308" s="63">
        <f t="shared" si="181"/>
        <v>0</v>
      </c>
      <c r="Y308" s="42"/>
    </row>
    <row r="309" spans="1:25" s="64" customFormat="1" ht="39" customHeight="1" x14ac:dyDescent="0.2">
      <c r="A309" s="51" t="s">
        <v>130</v>
      </c>
      <c r="B309" s="52" t="s">
        <v>131</v>
      </c>
      <c r="C309" s="53" t="s">
        <v>108</v>
      </c>
      <c r="D309" s="54" t="s">
        <v>256</v>
      </c>
      <c r="E309" s="55" t="s">
        <v>73</v>
      </c>
      <c r="F309" s="52" t="s">
        <v>107</v>
      </c>
      <c r="G309" s="94">
        <v>1</v>
      </c>
      <c r="H309" s="53" t="s">
        <v>134</v>
      </c>
      <c r="I309" s="97" t="s">
        <v>135</v>
      </c>
      <c r="J309" s="95">
        <v>3</v>
      </c>
      <c r="K309" s="61">
        <v>20180172</v>
      </c>
      <c r="L309" s="61">
        <v>0</v>
      </c>
      <c r="M309" s="61">
        <v>0</v>
      </c>
      <c r="N309" s="60">
        <f t="shared" si="198"/>
        <v>20180172</v>
      </c>
      <c r="O309" s="61">
        <v>0</v>
      </c>
      <c r="P309" s="61">
        <v>0</v>
      </c>
      <c r="Q309" s="61">
        <v>0</v>
      </c>
      <c r="R309" s="60">
        <f t="shared" si="183"/>
        <v>20180172</v>
      </c>
      <c r="S309" s="61">
        <f>500000</f>
        <v>500000</v>
      </c>
      <c r="T309" s="62">
        <f>S309/R309</f>
        <v>2.4776795757736853E-2</v>
      </c>
      <c r="U309" s="61">
        <f>500000</f>
        <v>500000</v>
      </c>
      <c r="V309" s="62">
        <f t="shared" si="153"/>
        <v>2.4776795757736853E-2</v>
      </c>
      <c r="W309" s="61">
        <f>500000</f>
        <v>500000</v>
      </c>
      <c r="X309" s="63">
        <f t="shared" si="181"/>
        <v>2.4776795757736853E-2</v>
      </c>
      <c r="Y309" s="42"/>
    </row>
    <row r="310" spans="1:25" s="42" customFormat="1" ht="9" customHeight="1" x14ac:dyDescent="0.2">
      <c r="A310" s="65"/>
      <c r="B310" s="66"/>
      <c r="C310" s="67"/>
      <c r="D310" s="68"/>
      <c r="E310" s="69"/>
      <c r="F310" s="70"/>
      <c r="G310" s="71"/>
      <c r="H310" s="67"/>
      <c r="I310" s="72"/>
      <c r="J310" s="73"/>
      <c r="K310" s="74"/>
      <c r="L310" s="75"/>
      <c r="M310" s="75"/>
      <c r="N310" s="74"/>
      <c r="O310" s="75"/>
      <c r="P310" s="75"/>
      <c r="Q310" s="75"/>
      <c r="R310" s="74"/>
      <c r="S310" s="75"/>
      <c r="T310" s="76"/>
      <c r="U310" s="75"/>
      <c r="V310" s="76"/>
      <c r="W310" s="75"/>
      <c r="X310" s="77"/>
    </row>
    <row r="311" spans="1:25" s="50" customFormat="1" ht="39" customHeight="1" x14ac:dyDescent="0.2">
      <c r="A311" s="98" t="s">
        <v>130</v>
      </c>
      <c r="B311" s="161" t="s">
        <v>131</v>
      </c>
      <c r="C311" s="162"/>
      <c r="D311" s="79" t="s">
        <v>257</v>
      </c>
      <c r="E311" s="80" t="s">
        <v>73</v>
      </c>
      <c r="F311" s="161" t="s">
        <v>110</v>
      </c>
      <c r="G311" s="163"/>
      <c r="H311" s="163"/>
      <c r="I311" s="163"/>
      <c r="J311" s="162"/>
      <c r="K311" s="81">
        <f>K312</f>
        <v>2000000</v>
      </c>
      <c r="L311" s="81">
        <f t="shared" ref="L311:S311" si="199">L312</f>
        <v>0</v>
      </c>
      <c r="M311" s="81">
        <f t="shared" si="199"/>
        <v>0</v>
      </c>
      <c r="N311" s="81">
        <f t="shared" si="199"/>
        <v>2000000</v>
      </c>
      <c r="O311" s="81">
        <f t="shared" si="199"/>
        <v>0</v>
      </c>
      <c r="P311" s="81">
        <f t="shared" si="199"/>
        <v>0</v>
      </c>
      <c r="Q311" s="81">
        <f t="shared" si="199"/>
        <v>0</v>
      </c>
      <c r="R311" s="81">
        <f t="shared" si="199"/>
        <v>2000000</v>
      </c>
      <c r="S311" s="81">
        <f t="shared" si="199"/>
        <v>0</v>
      </c>
      <c r="T311" s="82">
        <f>S311/R311</f>
        <v>0</v>
      </c>
      <c r="U311" s="81">
        <f>U312</f>
        <v>0</v>
      </c>
      <c r="V311" s="82">
        <f t="shared" ref="V311" si="200">U311/R311</f>
        <v>0</v>
      </c>
      <c r="W311" s="81">
        <f>W312</f>
        <v>0</v>
      </c>
      <c r="X311" s="83">
        <f t="shared" ref="X311" si="201">W311/R311</f>
        <v>0</v>
      </c>
      <c r="Y311" s="49"/>
    </row>
    <row r="312" spans="1:25" s="64" customFormat="1" ht="39" customHeight="1" x14ac:dyDescent="0.2">
      <c r="A312" s="91" t="s">
        <v>130</v>
      </c>
      <c r="B312" s="52" t="s">
        <v>131</v>
      </c>
      <c r="C312" s="53" t="s">
        <v>108</v>
      </c>
      <c r="D312" s="54" t="s">
        <v>257</v>
      </c>
      <c r="E312" s="55" t="s">
        <v>73</v>
      </c>
      <c r="F312" s="56" t="s">
        <v>110</v>
      </c>
      <c r="G312" s="57">
        <v>1</v>
      </c>
      <c r="H312" s="53" t="s">
        <v>134</v>
      </c>
      <c r="I312" s="97" t="s">
        <v>135</v>
      </c>
      <c r="J312" s="59">
        <v>3</v>
      </c>
      <c r="K312" s="60">
        <v>2000000</v>
      </c>
      <c r="L312" s="61">
        <v>0</v>
      </c>
      <c r="M312" s="61">
        <v>0</v>
      </c>
      <c r="N312" s="60">
        <f t="shared" si="198"/>
        <v>2000000</v>
      </c>
      <c r="O312" s="61">
        <v>0</v>
      </c>
      <c r="P312" s="61">
        <v>0</v>
      </c>
      <c r="Q312" s="61">
        <v>0</v>
      </c>
      <c r="R312" s="60">
        <f t="shared" si="183"/>
        <v>2000000</v>
      </c>
      <c r="S312" s="61">
        <v>0</v>
      </c>
      <c r="T312" s="62">
        <f>S312/R312</f>
        <v>0</v>
      </c>
      <c r="U312" s="61">
        <v>0</v>
      </c>
      <c r="V312" s="62">
        <f t="shared" si="153"/>
        <v>0</v>
      </c>
      <c r="W312" s="61">
        <v>0</v>
      </c>
      <c r="X312" s="63">
        <f t="shared" si="181"/>
        <v>0</v>
      </c>
      <c r="Y312" s="42"/>
    </row>
    <row r="313" spans="1:25" s="42" customFormat="1" ht="9" customHeight="1" x14ac:dyDescent="0.2">
      <c r="A313" s="65"/>
      <c r="B313" s="66"/>
      <c r="C313" s="67"/>
      <c r="D313" s="68"/>
      <c r="E313" s="69"/>
      <c r="F313" s="70"/>
      <c r="G313" s="71"/>
      <c r="H313" s="67"/>
      <c r="I313" s="72"/>
      <c r="J313" s="73"/>
      <c r="K313" s="74"/>
      <c r="L313" s="75"/>
      <c r="M313" s="75"/>
      <c r="N313" s="74"/>
      <c r="O313" s="75"/>
      <c r="P313" s="75"/>
      <c r="Q313" s="75"/>
      <c r="R313" s="74"/>
      <c r="S313" s="75"/>
      <c r="T313" s="76"/>
      <c r="U313" s="75"/>
      <c r="V313" s="76"/>
      <c r="W313" s="75"/>
      <c r="X313" s="77"/>
    </row>
    <row r="314" spans="1:25" s="50" customFormat="1" ht="39" customHeight="1" x14ac:dyDescent="0.2">
      <c r="A314" s="98" t="s">
        <v>130</v>
      </c>
      <c r="B314" s="161" t="s">
        <v>131</v>
      </c>
      <c r="C314" s="162"/>
      <c r="D314" s="79" t="s">
        <v>258</v>
      </c>
      <c r="E314" s="80" t="s">
        <v>73</v>
      </c>
      <c r="F314" s="161" t="s">
        <v>112</v>
      </c>
      <c r="G314" s="163"/>
      <c r="H314" s="163"/>
      <c r="I314" s="163"/>
      <c r="J314" s="162"/>
      <c r="K314" s="81">
        <f>K315</f>
        <v>5000000</v>
      </c>
      <c r="L314" s="81">
        <f t="shared" ref="L314:S314" si="202">L315</f>
        <v>0</v>
      </c>
      <c r="M314" s="81">
        <f t="shared" si="202"/>
        <v>0</v>
      </c>
      <c r="N314" s="81">
        <f t="shared" si="202"/>
        <v>5000000</v>
      </c>
      <c r="O314" s="81">
        <f t="shared" si="202"/>
        <v>0</v>
      </c>
      <c r="P314" s="81">
        <f t="shared" si="202"/>
        <v>0</v>
      </c>
      <c r="Q314" s="81">
        <f t="shared" si="202"/>
        <v>0</v>
      </c>
      <c r="R314" s="81">
        <f t="shared" si="202"/>
        <v>5000000</v>
      </c>
      <c r="S314" s="81">
        <f t="shared" si="202"/>
        <v>0</v>
      </c>
      <c r="T314" s="82">
        <f t="shared" ref="T314:T321" si="203">S314/R314</f>
        <v>0</v>
      </c>
      <c r="U314" s="81">
        <f>U315</f>
        <v>0</v>
      </c>
      <c r="V314" s="110">
        <f t="shared" ref="V314" si="204">U314/R314</f>
        <v>0</v>
      </c>
      <c r="W314" s="81">
        <f>W315</f>
        <v>0</v>
      </c>
      <c r="X314" s="83">
        <f t="shared" ref="X314" si="205">W314/R314</f>
        <v>0</v>
      </c>
      <c r="Y314" s="49"/>
    </row>
    <row r="315" spans="1:25" s="64" customFormat="1" ht="39" customHeight="1" x14ac:dyDescent="0.2">
      <c r="A315" s="91" t="s">
        <v>130</v>
      </c>
      <c r="B315" s="52" t="s">
        <v>131</v>
      </c>
      <c r="C315" s="53" t="s">
        <v>108</v>
      </c>
      <c r="D315" s="54" t="s">
        <v>258</v>
      </c>
      <c r="E315" s="55" t="s">
        <v>73</v>
      </c>
      <c r="F315" s="56" t="s">
        <v>112</v>
      </c>
      <c r="G315" s="57">
        <v>1</v>
      </c>
      <c r="H315" s="53" t="s">
        <v>134</v>
      </c>
      <c r="I315" s="97" t="s">
        <v>135</v>
      </c>
      <c r="J315" s="59">
        <v>3</v>
      </c>
      <c r="K315" s="60">
        <v>5000000</v>
      </c>
      <c r="L315" s="61">
        <v>0</v>
      </c>
      <c r="M315" s="61">
        <v>0</v>
      </c>
      <c r="N315" s="60">
        <f t="shared" si="198"/>
        <v>5000000</v>
      </c>
      <c r="O315" s="61">
        <v>0</v>
      </c>
      <c r="P315" s="61">
        <v>0</v>
      </c>
      <c r="Q315" s="61">
        <v>0</v>
      </c>
      <c r="R315" s="60">
        <f t="shared" si="183"/>
        <v>5000000</v>
      </c>
      <c r="S315" s="61">
        <v>0</v>
      </c>
      <c r="T315" s="62">
        <f t="shared" si="203"/>
        <v>0</v>
      </c>
      <c r="U315" s="61">
        <v>0</v>
      </c>
      <c r="V315" s="62">
        <f t="shared" si="153"/>
        <v>0</v>
      </c>
      <c r="W315" s="61">
        <v>0</v>
      </c>
      <c r="X315" s="63">
        <f t="shared" si="181"/>
        <v>0</v>
      </c>
      <c r="Y315" s="42"/>
    </row>
    <row r="316" spans="1:25" s="42" customFormat="1" ht="9" customHeight="1" x14ac:dyDescent="0.2">
      <c r="A316" s="65"/>
      <c r="B316" s="66"/>
      <c r="C316" s="67"/>
      <c r="D316" s="68"/>
      <c r="E316" s="69"/>
      <c r="F316" s="70"/>
      <c r="G316" s="71"/>
      <c r="H316" s="67"/>
      <c r="I316" s="72"/>
      <c r="J316" s="73"/>
      <c r="K316" s="74"/>
      <c r="L316" s="75"/>
      <c r="M316" s="75"/>
      <c r="N316" s="74"/>
      <c r="O316" s="75"/>
      <c r="P316" s="75"/>
      <c r="Q316" s="75"/>
      <c r="R316" s="74"/>
      <c r="S316" s="75"/>
      <c r="T316" s="111"/>
      <c r="U316" s="75"/>
      <c r="V316" s="111"/>
      <c r="W316" s="75"/>
      <c r="X316" s="112"/>
    </row>
    <row r="317" spans="1:25" s="50" customFormat="1" ht="39" customHeight="1" x14ac:dyDescent="0.2">
      <c r="A317" s="98" t="s">
        <v>130</v>
      </c>
      <c r="B317" s="161" t="s">
        <v>131</v>
      </c>
      <c r="C317" s="162"/>
      <c r="D317" s="79" t="s">
        <v>259</v>
      </c>
      <c r="E317" s="80" t="s">
        <v>73</v>
      </c>
      <c r="F317" s="161" t="s">
        <v>120</v>
      </c>
      <c r="G317" s="163"/>
      <c r="H317" s="163"/>
      <c r="I317" s="163"/>
      <c r="J317" s="162"/>
      <c r="K317" s="81">
        <f>K318</f>
        <v>2000000</v>
      </c>
      <c r="L317" s="81">
        <f t="shared" ref="L317:S317" si="206">L318</f>
        <v>0</v>
      </c>
      <c r="M317" s="81">
        <f t="shared" si="206"/>
        <v>0</v>
      </c>
      <c r="N317" s="81">
        <f t="shared" si="206"/>
        <v>2000000</v>
      </c>
      <c r="O317" s="81">
        <f t="shared" si="206"/>
        <v>0</v>
      </c>
      <c r="P317" s="81">
        <f t="shared" si="206"/>
        <v>0</v>
      </c>
      <c r="Q317" s="81">
        <f t="shared" si="206"/>
        <v>0</v>
      </c>
      <c r="R317" s="81">
        <f t="shared" si="206"/>
        <v>2000000</v>
      </c>
      <c r="S317" s="81">
        <f t="shared" si="206"/>
        <v>0</v>
      </c>
      <c r="T317" s="82">
        <f t="shared" ref="T317:T318" si="207">S317/R317</f>
        <v>0</v>
      </c>
      <c r="U317" s="81">
        <f>U318</f>
        <v>0</v>
      </c>
      <c r="V317" s="110">
        <f t="shared" ref="V317:V318" si="208">U317/R317</f>
        <v>0</v>
      </c>
      <c r="W317" s="81">
        <f>W318</f>
        <v>0</v>
      </c>
      <c r="X317" s="83">
        <f t="shared" ref="X317:X318" si="209">W317/R317</f>
        <v>0</v>
      </c>
      <c r="Y317" s="49"/>
    </row>
    <row r="318" spans="1:25" s="64" customFormat="1" ht="39" customHeight="1" thickBot="1" x14ac:dyDescent="0.25">
      <c r="A318" s="91" t="s">
        <v>130</v>
      </c>
      <c r="B318" s="52" t="s">
        <v>131</v>
      </c>
      <c r="C318" s="53" t="s">
        <v>108</v>
      </c>
      <c r="D318" s="54" t="s">
        <v>259</v>
      </c>
      <c r="E318" s="55" t="s">
        <v>73</v>
      </c>
      <c r="F318" s="56" t="s">
        <v>120</v>
      </c>
      <c r="G318" s="57">
        <v>1</v>
      </c>
      <c r="H318" s="53" t="s">
        <v>134</v>
      </c>
      <c r="I318" s="97" t="s">
        <v>135</v>
      </c>
      <c r="J318" s="59">
        <v>3</v>
      </c>
      <c r="K318" s="60">
        <v>2000000</v>
      </c>
      <c r="L318" s="61">
        <v>0</v>
      </c>
      <c r="M318" s="61">
        <v>0</v>
      </c>
      <c r="N318" s="60">
        <f t="shared" ref="N318" si="210">K318+L318-M318</f>
        <v>2000000</v>
      </c>
      <c r="O318" s="61">
        <v>0</v>
      </c>
      <c r="P318" s="61">
        <v>0</v>
      </c>
      <c r="Q318" s="61">
        <v>0</v>
      </c>
      <c r="R318" s="60">
        <f t="shared" ref="R318" si="211">N318-O318+P318+Q318</f>
        <v>2000000</v>
      </c>
      <c r="S318" s="61">
        <v>0</v>
      </c>
      <c r="T318" s="62">
        <f t="shared" si="207"/>
        <v>0</v>
      </c>
      <c r="U318" s="61">
        <v>0</v>
      </c>
      <c r="V318" s="113">
        <f t="shared" si="208"/>
        <v>0</v>
      </c>
      <c r="W318" s="61">
        <v>0</v>
      </c>
      <c r="X318" s="63">
        <f t="shared" si="209"/>
        <v>0</v>
      </c>
      <c r="Y318" s="42"/>
    </row>
    <row r="319" spans="1:25" s="50" customFormat="1" ht="39" customHeight="1" thickBot="1" x14ac:dyDescent="0.25">
      <c r="A319" s="176" t="s">
        <v>260</v>
      </c>
      <c r="B319" s="177"/>
      <c r="C319" s="177"/>
      <c r="D319" s="177"/>
      <c r="E319" s="177"/>
      <c r="F319" s="177"/>
      <c r="G319" s="177"/>
      <c r="H319" s="177"/>
      <c r="I319" s="177"/>
      <c r="J319" s="178"/>
      <c r="K319" s="88">
        <f>K116+K122+K130+K137+K141+K145+K148+K151+K154+K158+K165+K171+K175+K181+K185+K191+K196+K201+K206+K209+K213+K217+K220+K224+K228+K231+K234+K237+K240+K244+K247+K251+K255+K261+K266+K271+K275+K278+K281+K285+K289+K292+K296+K299+K302+K307+K311+K314+K317</f>
        <v>185246272</v>
      </c>
      <c r="L319" s="88">
        <f t="shared" ref="L319:S319" si="212">L116+L122+L130+L137+L141+L145+L148+L151+L154+L158+L165+L171+L175+L181+L185+L191+L196+L201+L206+L209+L213+L217+L220+L224+L228+L231+L234+L237+L240+L244+L247+L251+L255+L261+L266+L271+L275+L278+L281+L285+L289+L292+L296+L299+L302+L307+L311+L314+L317</f>
        <v>23324602.520000003</v>
      </c>
      <c r="M319" s="88">
        <f t="shared" si="212"/>
        <v>4217619</v>
      </c>
      <c r="N319" s="88">
        <f t="shared" si="212"/>
        <v>204353255.51999998</v>
      </c>
      <c r="O319" s="88">
        <f t="shared" si="212"/>
        <v>894634.84</v>
      </c>
      <c r="P319" s="88">
        <f t="shared" si="212"/>
        <v>0</v>
      </c>
      <c r="Q319" s="88">
        <f t="shared" si="212"/>
        <v>-1103613.47</v>
      </c>
      <c r="R319" s="88">
        <f t="shared" si="212"/>
        <v>202355007.20999998</v>
      </c>
      <c r="S319" s="88">
        <f t="shared" si="212"/>
        <v>44465969.270000011</v>
      </c>
      <c r="T319" s="89">
        <f t="shared" si="203"/>
        <v>0.219742371998011</v>
      </c>
      <c r="U319" s="88">
        <f>U116+U122+U130+U137+U141+U145+U148+U151+U154+U158+U165+U171+U175+U181+U185+U191+U196+U201+U206+U209+U213+U217+U220+U224+U228+U231+U234+U237+U240+U244+U247+U251+U255+U261+U266+U271+U275+U278+U281+U285+U289+U292+U296+U299+U302+U307+U311+U314+U317</f>
        <v>37957705.65110001</v>
      </c>
      <c r="V319" s="89">
        <f t="shared" si="153"/>
        <v>0.18757976970497331</v>
      </c>
      <c r="W319" s="88">
        <f>W116+W122+W130+W137+W141+W145+W148+W151+W154+W158+W165+W171+W175+W181+W185+W191+W196+W201+W206+W209+W213+W217+W220+W224+W228+W231+W234+W237+W240+W244+W247+W251+W255+W261+W266+W271+W275+W278+W281+W285+W289+W292+W296+W299+W302+W307+W311+W314+W317</f>
        <v>37658491.890000001</v>
      </c>
      <c r="X319" s="90">
        <f>W319/R319</f>
        <v>0.18610111214554118</v>
      </c>
      <c r="Y319" s="114"/>
    </row>
    <row r="320" spans="1:25" s="42" customFormat="1" ht="12" customHeight="1" thickBot="1" x14ac:dyDescent="0.25">
      <c r="A320" s="65"/>
      <c r="B320" s="66"/>
      <c r="C320" s="67"/>
      <c r="D320" s="68"/>
      <c r="E320" s="69"/>
      <c r="F320" s="70"/>
      <c r="G320" s="71"/>
      <c r="H320" s="67"/>
      <c r="I320" s="72"/>
      <c r="J320" s="73"/>
      <c r="K320" s="74"/>
      <c r="L320" s="75"/>
      <c r="M320" s="75"/>
      <c r="N320" s="74"/>
      <c r="O320" s="75"/>
      <c r="P320" s="75"/>
      <c r="Q320" s="75"/>
      <c r="R320" s="74"/>
      <c r="S320" s="75"/>
      <c r="T320" s="76"/>
      <c r="U320" s="75"/>
      <c r="V320" s="76"/>
      <c r="W320" s="75"/>
      <c r="X320" s="77"/>
    </row>
    <row r="321" spans="1:25" s="50" customFormat="1" ht="39" customHeight="1" thickBot="1" x14ac:dyDescent="0.25">
      <c r="A321" s="183" t="s">
        <v>261</v>
      </c>
      <c r="B321" s="184"/>
      <c r="C321" s="184"/>
      <c r="D321" s="184"/>
      <c r="E321" s="184"/>
      <c r="F321" s="184"/>
      <c r="G321" s="184"/>
      <c r="H321" s="184"/>
      <c r="I321" s="184"/>
      <c r="J321" s="185"/>
      <c r="K321" s="88">
        <f>K114+K319</f>
        <v>1262665215</v>
      </c>
      <c r="L321" s="88">
        <f t="shared" ref="L321:S321" si="213">L114+L319</f>
        <v>49234995.230000004</v>
      </c>
      <c r="M321" s="88">
        <f t="shared" si="213"/>
        <v>4517619</v>
      </c>
      <c r="N321" s="88">
        <f t="shared" si="213"/>
        <v>1307382591.23</v>
      </c>
      <c r="O321" s="88">
        <f t="shared" si="213"/>
        <v>26332229.16</v>
      </c>
      <c r="P321" s="88">
        <f t="shared" si="213"/>
        <v>0</v>
      </c>
      <c r="Q321" s="88">
        <f t="shared" si="213"/>
        <v>-6484842.5999999996</v>
      </c>
      <c r="R321" s="88">
        <f t="shared" si="213"/>
        <v>1274565519.4699998</v>
      </c>
      <c r="S321" s="88">
        <f t="shared" si="213"/>
        <v>454754854.76999998</v>
      </c>
      <c r="T321" s="89">
        <f t="shared" si="203"/>
        <v>0.35679205801762143</v>
      </c>
      <c r="U321" s="88">
        <f>U114+U319</f>
        <v>415839377.21109998</v>
      </c>
      <c r="V321" s="89">
        <f t="shared" si="153"/>
        <v>0.32625971035527285</v>
      </c>
      <c r="W321" s="88">
        <f>W114+W319</f>
        <v>399612795.07999998</v>
      </c>
      <c r="X321" s="90">
        <f>W321/R321</f>
        <v>0.31352864091770677</v>
      </c>
      <c r="Y321" s="49"/>
    </row>
    <row r="322" spans="1:25" s="115" customFormat="1" ht="16.5" customHeight="1" x14ac:dyDescent="0.2">
      <c r="A322" s="115" t="s">
        <v>262</v>
      </c>
      <c r="B322" s="116"/>
      <c r="E322" s="117"/>
      <c r="F322" s="118"/>
      <c r="G322" s="119"/>
      <c r="H322" s="119"/>
      <c r="I322" s="120"/>
      <c r="J322" s="119"/>
      <c r="K322" s="119"/>
      <c r="L322" s="119"/>
      <c r="M322" s="119"/>
      <c r="N322" s="119"/>
      <c r="O322" s="119"/>
      <c r="P322" s="119"/>
      <c r="Q322" s="121"/>
      <c r="R322" s="119"/>
      <c r="S322" s="119"/>
      <c r="T322" s="119"/>
      <c r="U322" s="119"/>
    </row>
    <row r="323" spans="1:25" s="123" customFormat="1" ht="16.5" customHeight="1" x14ac:dyDescent="0.2">
      <c r="A323" s="186" t="s">
        <v>263</v>
      </c>
      <c r="B323" s="186"/>
      <c r="C323" s="186"/>
      <c r="D323" s="186"/>
      <c r="E323" s="186"/>
      <c r="F323" s="186"/>
      <c r="G323" s="186"/>
      <c r="H323" s="186"/>
      <c r="I323" s="186"/>
      <c r="J323" s="186"/>
      <c r="K323" s="186"/>
      <c r="L323" s="186"/>
      <c r="M323" s="186"/>
      <c r="N323" s="186"/>
      <c r="O323" s="186"/>
      <c r="P323" s="186"/>
      <c r="Q323" s="186"/>
      <c r="R323" s="186"/>
      <c r="S323" s="186"/>
      <c r="T323" s="186"/>
      <c r="U323" s="186"/>
      <c r="V323" s="186"/>
      <c r="W323" s="186"/>
      <c r="X323" s="186"/>
      <c r="Y323" s="122"/>
    </row>
    <row r="324" spans="1:25" s="123" customFormat="1" ht="16.5" customHeight="1" x14ac:dyDescent="0.2">
      <c r="A324" s="187" t="s">
        <v>264</v>
      </c>
      <c r="B324" s="187"/>
      <c r="C324" s="187"/>
      <c r="D324" s="187"/>
      <c r="E324" s="187"/>
      <c r="F324" s="187"/>
      <c r="G324" s="187"/>
      <c r="H324" s="187"/>
      <c r="I324" s="187"/>
      <c r="J324" s="187"/>
      <c r="K324" s="187"/>
      <c r="L324" s="187"/>
      <c r="M324" s="187"/>
      <c r="N324" s="187"/>
      <c r="O324" s="187"/>
      <c r="P324" s="187"/>
      <c r="Q324" s="187"/>
      <c r="R324" s="187"/>
      <c r="S324" s="187"/>
      <c r="T324" s="187"/>
      <c r="U324" s="187"/>
      <c r="V324" s="187"/>
      <c r="W324" s="187"/>
      <c r="X324" s="187"/>
      <c r="Y324" s="122"/>
    </row>
    <row r="325" spans="1:25" s="123" customFormat="1" ht="16.5" customHeight="1" x14ac:dyDescent="0.2">
      <c r="A325" s="187" t="s">
        <v>265</v>
      </c>
      <c r="B325" s="187"/>
      <c r="C325" s="187"/>
      <c r="D325" s="187"/>
      <c r="E325" s="187"/>
      <c r="F325" s="187"/>
      <c r="G325" s="187"/>
      <c r="H325" s="187"/>
      <c r="I325" s="187"/>
      <c r="J325" s="187"/>
      <c r="K325" s="187"/>
      <c r="L325" s="187"/>
      <c r="M325" s="187"/>
      <c r="N325" s="187"/>
      <c r="O325" s="187"/>
      <c r="P325" s="187"/>
      <c r="Q325" s="187"/>
      <c r="R325" s="187"/>
      <c r="S325" s="187"/>
      <c r="T325" s="187"/>
      <c r="U325" s="187"/>
      <c r="V325" s="187"/>
      <c r="W325" s="187"/>
      <c r="X325" s="187"/>
      <c r="Y325" s="122"/>
    </row>
    <row r="326" spans="1:25" ht="12.75" customHeight="1" x14ac:dyDescent="0.2">
      <c r="A326" s="124" t="s">
        <v>266</v>
      </c>
      <c r="B326" s="179" t="s">
        <v>267</v>
      </c>
      <c r="C326" s="179"/>
      <c r="D326" s="125" t="s">
        <v>268</v>
      </c>
      <c r="E326" s="181" t="s">
        <v>269</v>
      </c>
      <c r="F326" s="181"/>
      <c r="G326" s="182" t="s">
        <v>268</v>
      </c>
      <c r="H326" s="182"/>
      <c r="I326" s="181" t="s">
        <v>270</v>
      </c>
      <c r="J326" s="181"/>
      <c r="K326" s="181"/>
      <c r="L326" s="125" t="s">
        <v>268</v>
      </c>
      <c r="M326" s="181" t="s">
        <v>271</v>
      </c>
      <c r="N326" s="181"/>
      <c r="O326" s="181"/>
      <c r="P326" s="125"/>
      <c r="Q326" s="179"/>
      <c r="R326" s="179"/>
      <c r="S326" s="179"/>
      <c r="T326" s="179"/>
      <c r="U326" s="126"/>
      <c r="V326" s="127"/>
      <c r="W326" s="128"/>
      <c r="X326" s="129"/>
      <c r="Y326"/>
    </row>
    <row r="327" spans="1:25" ht="12.75" customHeight="1" x14ac:dyDescent="0.2">
      <c r="A327" s="124"/>
      <c r="B327" s="180" t="s">
        <v>272</v>
      </c>
      <c r="C327" s="180"/>
      <c r="D327" s="125" t="s">
        <v>268</v>
      </c>
      <c r="E327" s="181" t="s">
        <v>273</v>
      </c>
      <c r="F327" s="181"/>
      <c r="G327" s="182" t="s">
        <v>268</v>
      </c>
      <c r="H327" s="182"/>
      <c r="I327" s="181" t="s">
        <v>274</v>
      </c>
      <c r="J327" s="181"/>
      <c r="K327" s="181"/>
      <c r="L327" s="125" t="s">
        <v>268</v>
      </c>
      <c r="M327" s="181" t="s">
        <v>275</v>
      </c>
      <c r="N327" s="181"/>
      <c r="O327" s="181"/>
      <c r="P327" s="125"/>
      <c r="Q327" s="179"/>
      <c r="R327" s="179"/>
      <c r="S327" s="179"/>
      <c r="T327" s="179"/>
      <c r="U327" s="126"/>
      <c r="V327" s="127"/>
      <c r="W327" s="128"/>
      <c r="X327" s="129"/>
      <c r="Y327"/>
    </row>
    <row r="328" spans="1:25" ht="12.75" customHeight="1" x14ac:dyDescent="0.2">
      <c r="A328" s="124"/>
      <c r="B328" s="130"/>
      <c r="C328" s="130"/>
      <c r="D328" s="131" t="s">
        <v>268</v>
      </c>
      <c r="E328" s="181" t="s">
        <v>276</v>
      </c>
      <c r="F328" s="181"/>
      <c r="G328" s="182" t="s">
        <v>268</v>
      </c>
      <c r="H328" s="182"/>
      <c r="I328" s="181" t="s">
        <v>277</v>
      </c>
      <c r="J328" s="181"/>
      <c r="K328" s="181"/>
      <c r="L328" s="125" t="s">
        <v>268</v>
      </c>
      <c r="M328" s="181" t="s">
        <v>278</v>
      </c>
      <c r="N328" s="181"/>
      <c r="O328" s="181"/>
      <c r="P328" s="125"/>
      <c r="Q328" s="132"/>
      <c r="R328" s="132"/>
      <c r="S328" s="132"/>
      <c r="T328" s="132"/>
      <c r="U328" s="126"/>
      <c r="V328" s="127"/>
      <c r="W328" s="128"/>
      <c r="X328" s="129"/>
      <c r="Y328"/>
    </row>
    <row r="329" spans="1:25" s="123" customFormat="1" ht="16.5" customHeight="1" x14ac:dyDescent="0.2">
      <c r="A329" s="187" t="s">
        <v>279</v>
      </c>
      <c r="B329" s="187"/>
      <c r="C329" s="187"/>
      <c r="D329" s="187"/>
      <c r="E329" s="187"/>
      <c r="F329" s="187"/>
      <c r="G329" s="187"/>
      <c r="H329" s="187"/>
      <c r="I329" s="187"/>
      <c r="J329" s="187"/>
      <c r="K329" s="187"/>
      <c r="L329" s="187"/>
      <c r="M329" s="187"/>
      <c r="N329" s="187"/>
      <c r="O329" s="187"/>
      <c r="P329" s="187"/>
      <c r="Q329" s="187"/>
      <c r="R329" s="187"/>
      <c r="S329" s="187"/>
      <c r="T329" s="187"/>
      <c r="U329" s="187"/>
      <c r="V329" s="187"/>
      <c r="W329" s="187"/>
      <c r="X329" s="187"/>
      <c r="Y329" s="122"/>
    </row>
    <row r="330" spans="1:25" ht="12.75" customHeight="1" x14ac:dyDescent="0.2">
      <c r="A330" s="124"/>
      <c r="B330" s="133"/>
      <c r="C330" s="179" t="s">
        <v>280</v>
      </c>
      <c r="D330" s="179"/>
      <c r="E330" s="179"/>
      <c r="F330" s="179" t="s">
        <v>281</v>
      </c>
      <c r="G330" s="179"/>
      <c r="H330" s="179"/>
      <c r="I330" s="134"/>
      <c r="J330" s="135"/>
      <c r="K330" s="136"/>
      <c r="Q330" s="137"/>
      <c r="S330" s="126"/>
      <c r="U330" s="126"/>
      <c r="V330" s="127"/>
      <c r="W330" s="128"/>
      <c r="X330" s="129"/>
      <c r="Y330"/>
    </row>
    <row r="331" spans="1:25" s="123" customFormat="1" ht="16.5" customHeight="1" x14ac:dyDescent="0.2">
      <c r="A331" s="187" t="s">
        <v>282</v>
      </c>
      <c r="B331" s="187"/>
      <c r="C331" s="187"/>
      <c r="D331" s="187"/>
      <c r="E331" s="187"/>
      <c r="F331" s="187"/>
      <c r="G331" s="187"/>
      <c r="H331" s="187"/>
      <c r="I331" s="187"/>
      <c r="J331" s="187"/>
      <c r="K331" s="187"/>
      <c r="L331" s="187"/>
      <c r="M331" s="187"/>
      <c r="N331" s="187"/>
      <c r="O331" s="187"/>
      <c r="P331" s="187"/>
      <c r="Q331" s="187"/>
      <c r="R331" s="187"/>
      <c r="S331" s="187"/>
      <c r="T331" s="187"/>
      <c r="U331" s="187"/>
      <c r="V331" s="187"/>
      <c r="W331" s="187"/>
      <c r="X331" s="187"/>
      <c r="Y331" s="122"/>
    </row>
    <row r="332" spans="1:25" ht="12.75" customHeight="1" x14ac:dyDescent="0.2">
      <c r="A332" s="124"/>
      <c r="B332" s="133"/>
      <c r="C332" s="179" t="s">
        <v>283</v>
      </c>
      <c r="D332" s="179"/>
      <c r="E332" s="179"/>
      <c r="F332" s="179" t="s">
        <v>284</v>
      </c>
      <c r="G332" s="179"/>
      <c r="H332" s="179"/>
      <c r="I332" s="134"/>
      <c r="J332" s="179" t="s">
        <v>285</v>
      </c>
      <c r="K332" s="179"/>
      <c r="L332" s="179"/>
      <c r="N332" s="179" t="s">
        <v>286</v>
      </c>
      <c r="O332" s="179"/>
      <c r="P332" s="179"/>
      <c r="Q332" s="137"/>
      <c r="S332" s="126"/>
      <c r="U332" s="126"/>
      <c r="V332" s="127"/>
      <c r="W332" s="128"/>
      <c r="X332" s="129"/>
      <c r="Y332"/>
    </row>
    <row r="333" spans="1:25" s="123" customFormat="1" ht="16.5" customHeight="1" x14ac:dyDescent="0.2">
      <c r="A333" s="187" t="s">
        <v>287</v>
      </c>
      <c r="B333" s="187"/>
      <c r="C333" s="187"/>
      <c r="D333" s="187"/>
      <c r="E333" s="187"/>
      <c r="F333" s="187"/>
      <c r="G333" s="187"/>
      <c r="H333" s="187"/>
      <c r="I333" s="187"/>
      <c r="J333" s="187"/>
      <c r="K333" s="187"/>
      <c r="L333" s="187"/>
      <c r="M333" s="187"/>
      <c r="N333" s="187"/>
      <c r="O333" s="187"/>
      <c r="P333" s="187"/>
      <c r="Q333" s="187"/>
      <c r="R333" s="187"/>
      <c r="S333" s="187"/>
      <c r="T333" s="187"/>
      <c r="U333" s="187"/>
      <c r="V333" s="187"/>
      <c r="W333" s="187"/>
      <c r="X333" s="187"/>
      <c r="Y333" s="122"/>
    </row>
    <row r="334" spans="1:25" ht="12.75" customHeight="1" x14ac:dyDescent="0.2">
      <c r="A334" s="179" t="s">
        <v>288</v>
      </c>
      <c r="B334" s="179"/>
      <c r="C334" s="179"/>
      <c r="D334" s="179"/>
      <c r="E334" s="179"/>
      <c r="F334" s="179"/>
      <c r="G334" s="179" t="s">
        <v>289</v>
      </c>
      <c r="H334" s="179"/>
      <c r="I334" s="179"/>
      <c r="J334" s="179"/>
      <c r="K334" s="179"/>
      <c r="L334" s="179"/>
      <c r="M334" s="179"/>
      <c r="N334" s="179"/>
      <c r="O334" s="179" t="s">
        <v>290</v>
      </c>
      <c r="P334" s="179"/>
      <c r="Q334" s="179"/>
      <c r="R334" s="179"/>
      <c r="S334" s="179"/>
      <c r="T334" s="179"/>
      <c r="U334" s="179"/>
      <c r="V334" s="127"/>
      <c r="W334" s="128"/>
      <c r="X334" s="129"/>
      <c r="Y334"/>
    </row>
    <row r="335" spans="1:25" ht="12.75" customHeight="1" x14ac:dyDescent="0.2">
      <c r="A335" s="179" t="s">
        <v>291</v>
      </c>
      <c r="B335" s="179"/>
      <c r="C335" s="179"/>
      <c r="D335" s="179"/>
      <c r="E335" s="179"/>
      <c r="F335" s="179"/>
      <c r="G335" s="179" t="s">
        <v>292</v>
      </c>
      <c r="H335" s="179"/>
      <c r="I335" s="179"/>
      <c r="J335" s="179"/>
      <c r="K335" s="179"/>
      <c r="L335" s="179"/>
      <c r="M335" s="179"/>
      <c r="N335" s="179"/>
      <c r="O335" s="179" t="s">
        <v>293</v>
      </c>
      <c r="P335" s="179"/>
      <c r="Q335" s="179"/>
      <c r="R335" s="179"/>
      <c r="S335" s="179"/>
      <c r="T335" s="179"/>
      <c r="U335" s="179"/>
      <c r="V335" s="127"/>
      <c r="W335" s="128"/>
      <c r="X335" s="129"/>
      <c r="Y335"/>
    </row>
    <row r="336" spans="1:25" ht="12.75" customHeight="1" x14ac:dyDescent="0.2">
      <c r="A336" s="179" t="s">
        <v>294</v>
      </c>
      <c r="B336" s="179"/>
      <c r="C336" s="179"/>
      <c r="D336" s="179"/>
      <c r="E336" s="179"/>
      <c r="F336" s="179"/>
      <c r="G336" s="179" t="s">
        <v>295</v>
      </c>
      <c r="H336" s="179"/>
      <c r="I336" s="179"/>
      <c r="J336" s="179"/>
      <c r="K336" s="179"/>
      <c r="L336" s="179"/>
      <c r="M336" s="179"/>
      <c r="N336" s="179"/>
      <c r="O336" s="179" t="s">
        <v>296</v>
      </c>
      <c r="P336" s="179"/>
      <c r="Q336" s="179"/>
      <c r="R336" s="179"/>
      <c r="S336" s="179"/>
      <c r="T336" s="179"/>
      <c r="U336" s="179"/>
      <c r="V336" s="127"/>
      <c r="W336" s="128"/>
      <c r="X336" s="129"/>
      <c r="Y336"/>
    </row>
    <row r="337" spans="1:25" ht="12.75" customHeight="1" x14ac:dyDescent="0.2">
      <c r="A337" s="179" t="s">
        <v>297</v>
      </c>
      <c r="B337" s="179"/>
      <c r="C337" s="179"/>
      <c r="D337" s="179"/>
      <c r="E337" s="179"/>
      <c r="F337" s="179"/>
      <c r="G337" s="179" t="s">
        <v>298</v>
      </c>
      <c r="H337" s="179"/>
      <c r="I337" s="179"/>
      <c r="J337" s="179"/>
      <c r="K337" s="179"/>
      <c r="L337" s="179"/>
      <c r="M337" s="179"/>
      <c r="N337" s="179"/>
      <c r="O337" s="179" t="s">
        <v>299</v>
      </c>
      <c r="P337" s="179"/>
      <c r="Q337" s="179"/>
      <c r="R337" s="179"/>
      <c r="S337" s="179"/>
      <c r="T337" s="179"/>
      <c r="U337" s="179"/>
      <c r="V337" s="127"/>
      <c r="W337" s="128"/>
      <c r="X337" s="129"/>
      <c r="Y337"/>
    </row>
    <row r="338" spans="1:25" s="123" customFormat="1" ht="16.5" customHeight="1" x14ac:dyDescent="0.2">
      <c r="A338" s="187" t="s">
        <v>300</v>
      </c>
      <c r="B338" s="187"/>
      <c r="C338" s="187"/>
      <c r="D338" s="187"/>
      <c r="E338" s="187"/>
      <c r="F338" s="187"/>
      <c r="G338" s="187"/>
      <c r="H338" s="187"/>
      <c r="I338" s="187"/>
      <c r="J338" s="187"/>
      <c r="K338" s="187"/>
      <c r="L338" s="187"/>
      <c r="M338" s="187"/>
      <c r="N338" s="187"/>
      <c r="O338" s="187"/>
      <c r="P338" s="187"/>
      <c r="Q338" s="187"/>
      <c r="R338" s="187"/>
      <c r="S338" s="187"/>
      <c r="T338" s="187"/>
      <c r="U338" s="187"/>
      <c r="V338" s="187"/>
      <c r="W338" s="187"/>
      <c r="X338" s="187"/>
      <c r="Y338" s="122"/>
    </row>
    <row r="339" spans="1:25" s="123" customFormat="1" ht="45" customHeight="1" x14ac:dyDescent="0.25">
      <c r="A339" s="188" t="s">
        <v>301</v>
      </c>
      <c r="B339" s="188"/>
      <c r="C339" s="188"/>
      <c r="D339" s="188"/>
      <c r="E339" s="188"/>
      <c r="F339" s="188"/>
      <c r="G339" s="188"/>
      <c r="H339" s="188"/>
      <c r="I339" s="188"/>
      <c r="J339" s="188"/>
      <c r="K339" s="188"/>
      <c r="L339" s="188"/>
      <c r="M339" s="188"/>
      <c r="N339" s="188"/>
      <c r="O339" s="188"/>
      <c r="P339" s="188"/>
      <c r="Q339" s="188"/>
      <c r="R339" s="188"/>
      <c r="S339" s="188"/>
      <c r="T339" s="188"/>
      <c r="U339" s="188"/>
      <c r="V339" s="188"/>
      <c r="W339" s="188"/>
      <c r="X339" s="188"/>
      <c r="Y339" s="122"/>
    </row>
    <row r="340" spans="1:25" s="144" customFormat="1" x14ac:dyDescent="0.2">
      <c r="A340" s="139"/>
      <c r="B340" s="140"/>
      <c r="C340" s="129"/>
      <c r="D340" s="129"/>
      <c r="E340" s="140"/>
      <c r="F340" s="140"/>
      <c r="G340" s="129"/>
      <c r="H340" s="141"/>
      <c r="I340" s="142"/>
      <c r="J340" s="143"/>
      <c r="K340" s="126"/>
      <c r="L340" s="126"/>
      <c r="M340" s="126"/>
      <c r="N340" s="126"/>
      <c r="O340" s="126"/>
      <c r="P340" s="179"/>
      <c r="Q340" s="179"/>
      <c r="R340" s="179"/>
      <c r="S340" s="179"/>
      <c r="T340" s="179"/>
      <c r="U340" s="179"/>
      <c r="V340" s="179"/>
      <c r="W340" s="126"/>
      <c r="Y340" s="145"/>
    </row>
  </sheetData>
  <mergeCells count="215">
    <mergeCell ref="P340:V340"/>
    <mergeCell ref="A338:X338"/>
    <mergeCell ref="A336:F336"/>
    <mergeCell ref="G336:N336"/>
    <mergeCell ref="O336:U336"/>
    <mergeCell ref="A337:F337"/>
    <mergeCell ref="G337:N337"/>
    <mergeCell ref="O337:U337"/>
    <mergeCell ref="A334:F334"/>
    <mergeCell ref="G334:N334"/>
    <mergeCell ref="O334:U334"/>
    <mergeCell ref="A335:F335"/>
    <mergeCell ref="G335:N335"/>
    <mergeCell ref="O335:U335"/>
    <mergeCell ref="A339:X339"/>
    <mergeCell ref="A331:X331"/>
    <mergeCell ref="C332:E332"/>
    <mergeCell ref="F332:H332"/>
    <mergeCell ref="J332:L332"/>
    <mergeCell ref="N332:P332"/>
    <mergeCell ref="A333:X333"/>
    <mergeCell ref="E328:F328"/>
    <mergeCell ref="G328:H328"/>
    <mergeCell ref="I328:K328"/>
    <mergeCell ref="M328:O328"/>
    <mergeCell ref="A329:X329"/>
    <mergeCell ref="C330:E330"/>
    <mergeCell ref="F330:H330"/>
    <mergeCell ref="Q326:T326"/>
    <mergeCell ref="B327:C327"/>
    <mergeCell ref="E327:F327"/>
    <mergeCell ref="G327:H327"/>
    <mergeCell ref="I327:K327"/>
    <mergeCell ref="M327:O327"/>
    <mergeCell ref="Q327:T327"/>
    <mergeCell ref="A319:J319"/>
    <mergeCell ref="A321:J321"/>
    <mergeCell ref="A323:X323"/>
    <mergeCell ref="A324:X324"/>
    <mergeCell ref="A325:X325"/>
    <mergeCell ref="B326:C326"/>
    <mergeCell ref="E326:F326"/>
    <mergeCell ref="G326:H326"/>
    <mergeCell ref="I326:K326"/>
    <mergeCell ref="M326:O326"/>
    <mergeCell ref="B311:C311"/>
    <mergeCell ref="F311:J311"/>
    <mergeCell ref="B314:C314"/>
    <mergeCell ref="F314:J314"/>
    <mergeCell ref="B317:C317"/>
    <mergeCell ref="F317:J317"/>
    <mergeCell ref="B299:C299"/>
    <mergeCell ref="F299:J299"/>
    <mergeCell ref="B302:C302"/>
    <mergeCell ref="F302:J302"/>
    <mergeCell ref="B307:C307"/>
    <mergeCell ref="F307:J307"/>
    <mergeCell ref="B289:C289"/>
    <mergeCell ref="F289:J289"/>
    <mergeCell ref="B292:C292"/>
    <mergeCell ref="F292:J292"/>
    <mergeCell ref="B296:C296"/>
    <mergeCell ref="F296:J296"/>
    <mergeCell ref="B278:C278"/>
    <mergeCell ref="F278:J278"/>
    <mergeCell ref="B281:C281"/>
    <mergeCell ref="F281:J281"/>
    <mergeCell ref="B285:C285"/>
    <mergeCell ref="F285:J285"/>
    <mergeCell ref="B266:C266"/>
    <mergeCell ref="F266:J266"/>
    <mergeCell ref="B271:C271"/>
    <mergeCell ref="F271:J271"/>
    <mergeCell ref="B275:C275"/>
    <mergeCell ref="F275:J275"/>
    <mergeCell ref="B251:C251"/>
    <mergeCell ref="F251:J251"/>
    <mergeCell ref="B255:C255"/>
    <mergeCell ref="F255:J255"/>
    <mergeCell ref="B261:C261"/>
    <mergeCell ref="F261:J261"/>
    <mergeCell ref="B240:C240"/>
    <mergeCell ref="F240:J240"/>
    <mergeCell ref="B244:C244"/>
    <mergeCell ref="F244:J244"/>
    <mergeCell ref="B247:C247"/>
    <mergeCell ref="F247:J247"/>
    <mergeCell ref="B231:C231"/>
    <mergeCell ref="F231:J231"/>
    <mergeCell ref="B234:C234"/>
    <mergeCell ref="F234:J234"/>
    <mergeCell ref="B237:C237"/>
    <mergeCell ref="F237:J237"/>
    <mergeCell ref="B220:C220"/>
    <mergeCell ref="F220:J220"/>
    <mergeCell ref="B224:C224"/>
    <mergeCell ref="F224:J224"/>
    <mergeCell ref="B228:C228"/>
    <mergeCell ref="F228:J228"/>
    <mergeCell ref="B209:C209"/>
    <mergeCell ref="F209:J209"/>
    <mergeCell ref="B213:C213"/>
    <mergeCell ref="F213:J213"/>
    <mergeCell ref="B217:C217"/>
    <mergeCell ref="F217:J217"/>
    <mergeCell ref="B196:C196"/>
    <mergeCell ref="F196:J196"/>
    <mergeCell ref="B201:C201"/>
    <mergeCell ref="F201:J201"/>
    <mergeCell ref="B206:C206"/>
    <mergeCell ref="F206:J206"/>
    <mergeCell ref="B181:C181"/>
    <mergeCell ref="F181:J181"/>
    <mergeCell ref="B185:C185"/>
    <mergeCell ref="F185:J185"/>
    <mergeCell ref="B191:C191"/>
    <mergeCell ref="F191:J191"/>
    <mergeCell ref="B165:C165"/>
    <mergeCell ref="F165:J165"/>
    <mergeCell ref="B171:C171"/>
    <mergeCell ref="F171:J171"/>
    <mergeCell ref="B175:C175"/>
    <mergeCell ref="F175:J175"/>
    <mergeCell ref="B151:C151"/>
    <mergeCell ref="F151:J151"/>
    <mergeCell ref="B154:C154"/>
    <mergeCell ref="F154:J154"/>
    <mergeCell ref="B158:C158"/>
    <mergeCell ref="F158:J158"/>
    <mergeCell ref="B141:C141"/>
    <mergeCell ref="F141:J141"/>
    <mergeCell ref="B145:C145"/>
    <mergeCell ref="F145:J145"/>
    <mergeCell ref="B148:C148"/>
    <mergeCell ref="F148:J148"/>
    <mergeCell ref="B122:C122"/>
    <mergeCell ref="F122:J122"/>
    <mergeCell ref="B130:C130"/>
    <mergeCell ref="F130:J130"/>
    <mergeCell ref="B137:C137"/>
    <mergeCell ref="F137:J137"/>
    <mergeCell ref="B108:C108"/>
    <mergeCell ref="F108:J108"/>
    <mergeCell ref="B111:C111"/>
    <mergeCell ref="F111:J111"/>
    <mergeCell ref="A114:J114"/>
    <mergeCell ref="B116:C116"/>
    <mergeCell ref="F116:J116"/>
    <mergeCell ref="B99:C99"/>
    <mergeCell ref="F99:J99"/>
    <mergeCell ref="B102:C102"/>
    <mergeCell ref="F102:J102"/>
    <mergeCell ref="B105:C105"/>
    <mergeCell ref="F105:J105"/>
    <mergeCell ref="B90:C90"/>
    <mergeCell ref="F90:J90"/>
    <mergeCell ref="B93:C93"/>
    <mergeCell ref="F93:J93"/>
    <mergeCell ref="B96:C96"/>
    <mergeCell ref="F96:J96"/>
    <mergeCell ref="B81:C81"/>
    <mergeCell ref="F81:J81"/>
    <mergeCell ref="B84:C84"/>
    <mergeCell ref="F84:J84"/>
    <mergeCell ref="B87:C87"/>
    <mergeCell ref="F87:J87"/>
    <mergeCell ref="B72:C72"/>
    <mergeCell ref="F72:J72"/>
    <mergeCell ref="B75:C75"/>
    <mergeCell ref="F75:J75"/>
    <mergeCell ref="B78:C78"/>
    <mergeCell ref="F78:J78"/>
    <mergeCell ref="B55:C55"/>
    <mergeCell ref="F55:J55"/>
    <mergeCell ref="B62:C62"/>
    <mergeCell ref="F62:J62"/>
    <mergeCell ref="B68:C68"/>
    <mergeCell ref="F68:J68"/>
    <mergeCell ref="B38:C38"/>
    <mergeCell ref="F38:J38"/>
    <mergeCell ref="B44:C44"/>
    <mergeCell ref="F44:J44"/>
    <mergeCell ref="B49:C49"/>
    <mergeCell ref="F49:J49"/>
    <mergeCell ref="B25:C25"/>
    <mergeCell ref="F25:J25"/>
    <mergeCell ref="B29:C29"/>
    <mergeCell ref="F29:J29"/>
    <mergeCell ref="B33:C33"/>
    <mergeCell ref="F33:J33"/>
    <mergeCell ref="B13:C13"/>
    <mergeCell ref="F13:J13"/>
    <mergeCell ref="B17:C17"/>
    <mergeCell ref="F17:J17"/>
    <mergeCell ref="B21:C21"/>
    <mergeCell ref="F21:J21"/>
    <mergeCell ref="R9:R10"/>
    <mergeCell ref="S9:X9"/>
    <mergeCell ref="A10:B10"/>
    <mergeCell ref="C10:C11"/>
    <mergeCell ref="D10:D11"/>
    <mergeCell ref="E10:F10"/>
    <mergeCell ref="G10:G11"/>
    <mergeCell ref="H10:I10"/>
    <mergeCell ref="J10:J11"/>
    <mergeCell ref="A1:X1"/>
    <mergeCell ref="A2:X2"/>
    <mergeCell ref="A3:X3"/>
    <mergeCell ref="A7:X7"/>
    <mergeCell ref="A9:J9"/>
    <mergeCell ref="K9:K10"/>
    <mergeCell ref="L9:M9"/>
    <mergeCell ref="N9:N10"/>
    <mergeCell ref="O9:O10"/>
    <mergeCell ref="P9:Q9"/>
  </mergeCells>
  <printOptions horizontalCentered="1"/>
  <pageMargins left="0.19685039370078741" right="0.19685039370078741" top="0.31496062992125984" bottom="0.31496062992125984" header="0.15748031496062992" footer="0.15748031496062992"/>
  <pageSetup paperSize="9" scale="48" orientation="landscape" r:id="rId1"/>
  <headerFooter alignWithMargins="0">
    <oddFooter>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Maio 2020</vt:lpstr>
      <vt:lpstr>'Maio 2020'!Area_de_impressao</vt:lpstr>
      <vt:lpstr>'Maio 2020'!Titulos_de_impressao</vt:lpstr>
    </vt:vector>
  </TitlesOfParts>
  <Company>Tribunal de Justiça do Estado do Pará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W7</cp:lastModifiedBy>
  <dcterms:created xsi:type="dcterms:W3CDTF">2020-06-17T15:42:48Z</dcterms:created>
  <dcterms:modified xsi:type="dcterms:W3CDTF">2020-06-20T13:21:03Z</dcterms:modified>
</cp:coreProperties>
</file>