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jane.mesquita\TJEPA\SAEO - General\8-CNJ\6.1-CNJ - RESOLUÇÃO 195 - QDD e MDEO\2019\"/>
    </mc:Choice>
  </mc:AlternateContent>
  <bookViews>
    <workbookView xWindow="0" yWindow="0" windowWidth="28800" windowHeight="11445"/>
  </bookViews>
  <sheets>
    <sheet name="MDEO 2019 " sheetId="1" r:id="rId1"/>
  </sheets>
  <definedNames>
    <definedName name="_xlnm.Print_Area" localSheetId="0">'MDEO 2019 '!$A$1:$X$242</definedName>
    <definedName name="_xlnm.Print_Titles" localSheetId="0">'MDEO 2019 '!$1:$14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33" i="1" l="1"/>
  <c r="W233" i="1"/>
  <c r="V233" i="1"/>
  <c r="U233" i="1"/>
  <c r="T233" i="1"/>
  <c r="S233" i="1"/>
  <c r="R233" i="1"/>
  <c r="Q233" i="1"/>
  <c r="P233" i="1"/>
  <c r="N233" i="1"/>
  <c r="M233" i="1"/>
  <c r="K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L219" i="1"/>
  <c r="L218" i="1"/>
  <c r="O218" i="1" s="1"/>
  <c r="L217" i="1"/>
  <c r="O217" i="1" s="1"/>
  <c r="L216" i="1"/>
  <c r="O216" i="1" s="1"/>
  <c r="O215" i="1"/>
  <c r="L214" i="1"/>
  <c r="O214" i="1" s="1"/>
  <c r="O213" i="1"/>
  <c r="O212" i="1"/>
  <c r="O211" i="1"/>
  <c r="O210" i="1"/>
  <c r="O209" i="1"/>
  <c r="L208" i="1"/>
  <c r="O208" i="1" s="1"/>
  <c r="O207" i="1"/>
  <c r="O206" i="1"/>
  <c r="O205" i="1"/>
  <c r="O204" i="1"/>
  <c r="O203" i="1"/>
  <c r="O202" i="1"/>
  <c r="O201" i="1"/>
  <c r="O200" i="1"/>
  <c r="O199" i="1"/>
  <c r="O198" i="1"/>
  <c r="O197" i="1"/>
  <c r="O196" i="1"/>
  <c r="L195" i="1"/>
  <c r="O195" i="1" s="1"/>
  <c r="O194" i="1"/>
  <c r="L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L173" i="1"/>
  <c r="O173" i="1" s="1"/>
  <c r="O172" i="1"/>
  <c r="O171" i="1"/>
  <c r="O170" i="1"/>
  <c r="L169" i="1"/>
  <c r="O169" i="1" s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L133" i="1"/>
  <c r="O133" i="1" s="1"/>
  <c r="O132" i="1"/>
  <c r="O131" i="1"/>
  <c r="O130" i="1"/>
  <c r="L129" i="1"/>
  <c r="O129" i="1" s="1"/>
  <c r="O128" i="1"/>
  <c r="O127" i="1"/>
  <c r="L126" i="1"/>
  <c r="O126" i="1" s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L112" i="1"/>
  <c r="O112" i="1" s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L94" i="1"/>
  <c r="O94" i="1" s="1"/>
  <c r="O93" i="1"/>
  <c r="L92" i="1"/>
  <c r="O91" i="1"/>
  <c r="O90" i="1"/>
  <c r="X89" i="1"/>
  <c r="X234" i="1" s="1"/>
  <c r="W89" i="1"/>
  <c r="V89" i="1"/>
  <c r="U89" i="1"/>
  <c r="U236" i="1" s="1"/>
  <c r="T89" i="1"/>
  <c r="T234" i="1" s="1"/>
  <c r="S89" i="1"/>
  <c r="R89" i="1"/>
  <c r="Q89" i="1"/>
  <c r="Q236" i="1" s="1"/>
  <c r="P89" i="1"/>
  <c r="P234" i="1" s="1"/>
  <c r="M89" i="1"/>
  <c r="K89" i="1"/>
  <c r="O88" i="1"/>
  <c r="N88" i="1"/>
  <c r="L88" i="1"/>
  <c r="N87" i="1"/>
  <c r="L87" i="1"/>
  <c r="L86" i="1"/>
  <c r="O86" i="1" s="1"/>
  <c r="L85" i="1"/>
  <c r="O85" i="1" s="1"/>
  <c r="L84" i="1"/>
  <c r="X80" i="1"/>
  <c r="X237" i="1" s="1"/>
  <c r="W80" i="1"/>
  <c r="W237" i="1" s="1"/>
  <c r="V80" i="1"/>
  <c r="U80" i="1"/>
  <c r="U81" i="1" s="1"/>
  <c r="T80" i="1"/>
  <c r="S80" i="1"/>
  <c r="S237" i="1" s="1"/>
  <c r="R80" i="1"/>
  <c r="Q80" i="1"/>
  <c r="Q81" i="1" s="1"/>
  <c r="P80" i="1"/>
  <c r="P237" i="1" s="1"/>
  <c r="N80" i="1"/>
  <c r="M80" i="1"/>
  <c r="L80" i="1"/>
  <c r="K80" i="1"/>
  <c r="O79" i="1"/>
  <c r="O78" i="1"/>
  <c r="O77" i="1"/>
  <c r="O76" i="1"/>
  <c r="O75" i="1"/>
  <c r="O74" i="1"/>
  <c r="O73" i="1"/>
  <c r="O72" i="1"/>
  <c r="O71" i="1"/>
  <c r="L71" i="1"/>
  <c r="O70" i="1"/>
  <c r="O69" i="1"/>
  <c r="O68" i="1"/>
  <c r="O67" i="1"/>
  <c r="O66" i="1"/>
  <c r="O65" i="1"/>
  <c r="O64" i="1"/>
  <c r="O63" i="1"/>
  <c r="X62" i="1"/>
  <c r="W62" i="1"/>
  <c r="V62" i="1"/>
  <c r="V81" i="1" s="1"/>
  <c r="U62" i="1"/>
  <c r="T62" i="1"/>
  <c r="S62" i="1"/>
  <c r="R62" i="1"/>
  <c r="R81" i="1" s="1"/>
  <c r="Q62" i="1"/>
  <c r="P62" i="1"/>
  <c r="M62" i="1"/>
  <c r="M236" i="1" s="1"/>
  <c r="K62" i="1"/>
  <c r="L61" i="1"/>
  <c r="O61" i="1" s="1"/>
  <c r="L60" i="1"/>
  <c r="O60" i="1" s="1"/>
  <c r="O59" i="1"/>
  <c r="L58" i="1"/>
  <c r="O58" i="1" s="1"/>
  <c r="L57" i="1"/>
  <c r="O57" i="1" s="1"/>
  <c r="L56" i="1"/>
  <c r="O56" i="1" s="1"/>
  <c r="L55" i="1"/>
  <c r="O55" i="1" s="1"/>
  <c r="O54" i="1"/>
  <c r="O53" i="1"/>
  <c r="L52" i="1"/>
  <c r="O52" i="1" s="1"/>
  <c r="L51" i="1"/>
  <c r="O51" i="1" s="1"/>
  <c r="L50" i="1"/>
  <c r="O50" i="1" s="1"/>
  <c r="L49" i="1"/>
  <c r="O49" i="1" s="1"/>
  <c r="L48" i="1"/>
  <c r="O48" i="1" s="1"/>
  <c r="L47" i="1"/>
  <c r="O47" i="1" s="1"/>
  <c r="L46" i="1"/>
  <c r="O46" i="1" s="1"/>
  <c r="L45" i="1"/>
  <c r="O45" i="1" s="1"/>
  <c r="L44" i="1"/>
  <c r="O44" i="1" s="1"/>
  <c r="O43" i="1"/>
  <c r="L42" i="1"/>
  <c r="O42" i="1" s="1"/>
  <c r="L41" i="1"/>
  <c r="O41" i="1" s="1"/>
  <c r="L40" i="1"/>
  <c r="O40" i="1" s="1"/>
  <c r="L39" i="1"/>
  <c r="O39" i="1" s="1"/>
  <c r="L38" i="1"/>
  <c r="O38" i="1" s="1"/>
  <c r="O37" i="1"/>
  <c r="L37" i="1"/>
  <c r="L36" i="1"/>
  <c r="O36" i="1" s="1"/>
  <c r="O35" i="1"/>
  <c r="L34" i="1"/>
  <c r="O34" i="1" s="1"/>
  <c r="L33" i="1"/>
  <c r="O33" i="1" s="1"/>
  <c r="L32" i="1"/>
  <c r="O32" i="1" s="1"/>
  <c r="L31" i="1"/>
  <c r="O31" i="1" s="1"/>
  <c r="L30" i="1"/>
  <c r="O30" i="1" s="1"/>
  <c r="L29" i="1"/>
  <c r="O29" i="1" s="1"/>
  <c r="N28" i="1"/>
  <c r="L28" i="1"/>
  <c r="O27" i="1"/>
  <c r="L27" i="1"/>
  <c r="L26" i="1"/>
  <c r="O26" i="1" s="1"/>
  <c r="L25" i="1"/>
  <c r="O25" i="1" s="1"/>
  <c r="L24" i="1"/>
  <c r="O24" i="1" s="1"/>
  <c r="L23" i="1"/>
  <c r="O23" i="1" s="1"/>
  <c r="L22" i="1"/>
  <c r="O22" i="1" s="1"/>
  <c r="O21" i="1"/>
  <c r="L20" i="1"/>
  <c r="O20" i="1" s="1"/>
  <c r="L19" i="1"/>
  <c r="O19" i="1" s="1"/>
  <c r="N18" i="1"/>
  <c r="N62" i="1" s="1"/>
  <c r="L18" i="1"/>
  <c r="L17" i="1"/>
  <c r="O17" i="1" s="1"/>
  <c r="L16" i="1"/>
  <c r="W234" i="1" l="1"/>
  <c r="O18" i="1"/>
  <c r="O28" i="1"/>
  <c r="K234" i="1"/>
  <c r="K237" i="1"/>
  <c r="T81" i="1"/>
  <c r="T237" i="1"/>
  <c r="N81" i="1"/>
  <c r="O80" i="1"/>
  <c r="O87" i="1"/>
  <c r="P236" i="1"/>
  <c r="P238" i="1" s="1"/>
  <c r="T236" i="1"/>
  <c r="T238" i="1" s="1"/>
  <c r="X236" i="1"/>
  <c r="X238" i="1" s="1"/>
  <c r="M81" i="1"/>
  <c r="V236" i="1"/>
  <c r="P81" i="1"/>
  <c r="X81" i="1"/>
  <c r="N89" i="1"/>
  <c r="N234" i="1" s="1"/>
  <c r="S234" i="1"/>
  <c r="N236" i="1"/>
  <c r="S81" i="1"/>
  <c r="S236" i="1"/>
  <c r="S238" i="1" s="1"/>
  <c r="W81" i="1"/>
  <c r="W236" i="1"/>
  <c r="W238" i="1" s="1"/>
  <c r="M237" i="1"/>
  <c r="M238" i="1" s="1"/>
  <c r="M234" i="1"/>
  <c r="V238" i="1"/>
  <c r="K81" i="1"/>
  <c r="K236" i="1"/>
  <c r="K238" i="1" s="1"/>
  <c r="L89" i="1"/>
  <c r="O84" i="1"/>
  <c r="O89" i="1" s="1"/>
  <c r="R234" i="1"/>
  <c r="V234" i="1"/>
  <c r="L62" i="1"/>
  <c r="O16" i="1"/>
  <c r="O62" i="1" s="1"/>
  <c r="L233" i="1"/>
  <c r="L237" i="1" s="1"/>
  <c r="O92" i="1"/>
  <c r="O233" i="1" s="1"/>
  <c r="O237" i="1" s="1"/>
  <c r="R236" i="1"/>
  <c r="N237" i="1"/>
  <c r="R237" i="1"/>
  <c r="V237" i="1"/>
  <c r="Q237" i="1"/>
  <c r="Q234" i="1"/>
  <c r="U237" i="1"/>
  <c r="U238" i="1" s="1"/>
  <c r="U234" i="1"/>
  <c r="N238" i="1" l="1"/>
  <c r="O234" i="1"/>
  <c r="L234" i="1"/>
  <c r="O81" i="1"/>
  <c r="O236" i="1"/>
  <c r="O238" i="1" s="1"/>
  <c r="R238" i="1"/>
  <c r="L236" i="1"/>
  <c r="L238" i="1" s="1"/>
  <c r="L81" i="1"/>
  <c r="Q238" i="1"/>
</calcChain>
</file>

<file path=xl/sharedStrings.xml><?xml version="1.0" encoding="utf-8"?>
<sst xmlns="http://schemas.openxmlformats.org/spreadsheetml/2006/main" count="2170" uniqueCount="240">
  <si>
    <t>PODER JUDICIÁRIO</t>
  </si>
  <si>
    <t>ÓRGÃO: TRIBUNAL DE JUSTIÇA DO ESTADO DO PARÁ</t>
  </si>
  <si>
    <t>MAPA DEMONSTRATIVO DA EXECUÇÃO ORÇAMENTÁRIA POR GRAU DE JURISDIÇÃO</t>
  </si>
  <si>
    <t>EXERCÍCIO DE 2019</t>
  </si>
  <si>
    <t xml:space="preserve">  (RESOLUÇÃO 195 CNJ, art. 9º)</t>
  </si>
  <si>
    <t>Classificação Orçamentária</t>
  </si>
  <si>
    <t>Dotação</t>
  </si>
  <si>
    <t>Execução</t>
  </si>
  <si>
    <t>Unidade Orçamentária</t>
  </si>
  <si>
    <t>Função e Subfun-ção</t>
  </si>
  <si>
    <t>Programa, Ação e Subtítulo (Código)</t>
  </si>
  <si>
    <t>Descrição</t>
  </si>
  <si>
    <t>Esfe-ra</t>
  </si>
  <si>
    <t>Fonte</t>
  </si>
  <si>
    <t>GND</t>
  </si>
  <si>
    <t>Inicial - LOA</t>
  </si>
  <si>
    <t>Créditos Adicionais</t>
  </si>
  <si>
    <t>Contingenciado</t>
  </si>
  <si>
    <t>Movimentação Líquida de Crédito</t>
  </si>
  <si>
    <t>Disponível</t>
  </si>
  <si>
    <t>Primeiro Grau</t>
  </si>
  <si>
    <t>Segundo Grau</t>
  </si>
  <si>
    <t>Primeiro e Segundo Graus (1)</t>
  </si>
  <si>
    <t>Código</t>
  </si>
  <si>
    <t>Programa</t>
  </si>
  <si>
    <t>Ação e Subtítulo</t>
  </si>
  <si>
    <t>Códi-go</t>
  </si>
  <si>
    <t>A</t>
  </si>
  <si>
    <t>B</t>
  </si>
  <si>
    <t>C</t>
  </si>
  <si>
    <t>D</t>
  </si>
  <si>
    <t>D=A+B-C+D</t>
  </si>
  <si>
    <t>Empenhado</t>
  </si>
  <si>
    <t>Liquidado</t>
  </si>
  <si>
    <t>Pago</t>
  </si>
  <si>
    <t>Dotações para despesas obrigatórias (2)</t>
  </si>
  <si>
    <t>04101</t>
  </si>
  <si>
    <t>Tribunal de Justiça do Estado do Pará</t>
  </si>
  <si>
    <t>02 / 061</t>
  </si>
  <si>
    <t>1417 / 8157</t>
  </si>
  <si>
    <t xml:space="preserve">Atuação Jurisdicional </t>
  </si>
  <si>
    <t>Ampliação do Quadro Funcional - 1º Grau</t>
  </si>
  <si>
    <t>1</t>
  </si>
  <si>
    <t>0101</t>
  </si>
  <si>
    <t>Recursos Ordinários</t>
  </si>
  <si>
    <t>1417 / 8159</t>
  </si>
  <si>
    <t>Ampliação do Quadro Funcional - Apoio Indireto à Atividade Judicante</t>
  </si>
  <si>
    <t>02 / 122</t>
  </si>
  <si>
    <t>1421 / 6853</t>
  </si>
  <si>
    <t>Manutenção da Gestão do Poder Judiciário</t>
  </si>
  <si>
    <t>Admin. de Recursos Humanos dos Serv. do Poder Judiciário - 1º Grau</t>
  </si>
  <si>
    <t>3</t>
  </si>
  <si>
    <t>0112</t>
  </si>
  <si>
    <t>Receita Patrimonial - Outros Poderes</t>
  </si>
  <si>
    <t>0301</t>
  </si>
  <si>
    <t>Recursos Ordinários - Superávit Financeiro</t>
  </si>
  <si>
    <t>0312</t>
  </si>
  <si>
    <t>Receita Patrimonial - Outros Poderes - Superávit Financeiro</t>
  </si>
  <si>
    <t>1421 / 6854</t>
  </si>
  <si>
    <t>Admin. de Recursos Humanos dos Serv. do Poder Judiciário - 2º Grau</t>
  </si>
  <si>
    <t>1421 / 6855</t>
  </si>
  <si>
    <t>Admin. de Rec. Hum. dos Serv. do Poder Judic. - Apoio Ind. à Ativ. Jud.</t>
  </si>
  <si>
    <t>1421 / 8189</t>
  </si>
  <si>
    <t>Administração de Recursos Humanos da Magistratura – 1º Grau</t>
  </si>
  <si>
    <t>1421 / 8190</t>
  </si>
  <si>
    <t>Administração de Recursos Humanos da Magistratura – 2º Grau</t>
  </si>
  <si>
    <t>1421 / 8191</t>
  </si>
  <si>
    <t>Administração de Recursos Humanos dos Magistrados e Servidores do Poder Judiciário - Justiça Militar</t>
  </si>
  <si>
    <t>1421 / 8598</t>
  </si>
  <si>
    <t xml:space="preserve">Pagamento de Obrigações Patronais de Inativos e Pencionistas do Poder Judiciário Estadual </t>
  </si>
  <si>
    <t>02 / 302</t>
  </si>
  <si>
    <t>1421 / 6844</t>
  </si>
  <si>
    <t>Contrib. do Poder Judic. ao Plano de Assistência à Saúde - 1º Grau</t>
  </si>
  <si>
    <t>1421 / 6845</t>
  </si>
  <si>
    <t>Contrib. do Poder Judic. ao Plano de Assistência à Saúde - 2º Grau</t>
  </si>
  <si>
    <t>1421 / 6846</t>
  </si>
  <si>
    <t>Contrib. do Poder Judic. ao Plano de Assist. à Saúde – Apoio Ind. à Ativ. Judic.</t>
  </si>
  <si>
    <t>02 / 331</t>
  </si>
  <si>
    <t>1421 / 6847</t>
  </si>
  <si>
    <t>Concessão de Auxílio Alimentação - 1º Grau</t>
  </si>
  <si>
    <t>1421 / 6848</t>
  </si>
  <si>
    <t>Concessão de  Auxílio Alimentação - 2º Grau</t>
  </si>
  <si>
    <t>1421 / 6849</t>
  </si>
  <si>
    <t>Concessão de  Auxílio Alimentação - Apoio Indireto à Atividade Judicante</t>
  </si>
  <si>
    <t>1421 / 6850</t>
  </si>
  <si>
    <t>Concessão de Auxílio Transporte - 1º Grau</t>
  </si>
  <si>
    <t>1421 / 6851</t>
  </si>
  <si>
    <t>Concessão de Auxílio Transporte - 2º Grau</t>
  </si>
  <si>
    <t>1421 / 6852</t>
  </si>
  <si>
    <t>Concessão de Auxílio Transporte - Apoio Indireto à Atividade Judicante</t>
  </si>
  <si>
    <t>1421 / 8199</t>
  </si>
  <si>
    <t>Concessão de Auxílio Alimentação - Justiça Militar</t>
  </si>
  <si>
    <t>1421 / 8200</t>
  </si>
  <si>
    <t>Concessão de Auxílio Transporte - Justiça Militar</t>
  </si>
  <si>
    <t>1421 / 8600</t>
  </si>
  <si>
    <t>Concessão de Auxílio Moradia - 1º Grau</t>
  </si>
  <si>
    <t>1421 / 8601</t>
  </si>
  <si>
    <t>Concessão de Auxílio Moradia - 2º Grau</t>
  </si>
  <si>
    <t>Total das dotações para despesas obrigatórias da UG 04101</t>
  </si>
  <si>
    <t>04102</t>
  </si>
  <si>
    <t>Tribunal de Justiça do Estado - FRJ</t>
  </si>
  <si>
    <t>1421 / 8666</t>
  </si>
  <si>
    <t>Administração de Recursos Humanos dos Servidores do Poder Judiciário - 1º Grau</t>
  </si>
  <si>
    <t>0118</t>
  </si>
  <si>
    <t>Rec. Próp. Fundo Reapar.  Judic. - FRJ</t>
  </si>
  <si>
    <t>1421 / 8667</t>
  </si>
  <si>
    <t>Administração de Recursos Humanos dos Servidores do Poder Judiciário - 2º Grau</t>
  </si>
  <si>
    <t>1421 / 8668</t>
  </si>
  <si>
    <t>Administração de Recursos Humanos dos Servidores do Poder Judiciário - Apoio Indireto à Atividade Judicante</t>
  </si>
  <si>
    <t>1421 / 8684</t>
  </si>
  <si>
    <t>1421 / 8660</t>
  </si>
  <si>
    <t>Contribuição do Poder Judiciário ao Plano de Assistência à Saúde - 1º Grau</t>
  </si>
  <si>
    <t>1421 / 8661</t>
  </si>
  <si>
    <t>Contribuição do Poder Judiciário ao Plano de Assistência à Saúde - 2º Grau</t>
  </si>
  <si>
    <t>1421 / 8662</t>
  </si>
  <si>
    <t>Contribuição do Poder Judiciário ao Plano de Assistência à Saúde - Apoio Indireto à Atividade Judicante</t>
  </si>
  <si>
    <t>1421 / 8663</t>
  </si>
  <si>
    <t>1421 / 8664</t>
  </si>
  <si>
    <t>1421 / 8665</t>
  </si>
  <si>
    <t>Total das dotações para despesas obrigatórias da UG 04102</t>
  </si>
  <si>
    <t>Total geral das dotações para despesas obrigatórias do Poder Judiciário</t>
  </si>
  <si>
    <t xml:space="preserve">Dotações para despesas discricionárias </t>
  </si>
  <si>
    <t>1417 / 8726</t>
  </si>
  <si>
    <t>Implementação do Registro Civil pelos Ofícios de Cidadania</t>
  </si>
  <si>
    <t>0128</t>
  </si>
  <si>
    <t>Rec. Próp. do Fundo de Apoio ao Reg. Civil do Estado</t>
  </si>
  <si>
    <t>0328</t>
  </si>
  <si>
    <t>Rec. Próp. do Fundo de Apoio ao Reg. Civil do Estado - Sup. Financeiro</t>
  </si>
  <si>
    <t>4</t>
  </si>
  <si>
    <t>1421 / 8195</t>
  </si>
  <si>
    <t>Operacion. das Ações Admin. do Poder judic.  Apoio Ind. à Ativ. Jud.</t>
  </si>
  <si>
    <t>Total das dotações para despesas discricionárias da UG 04101</t>
  </si>
  <si>
    <t>1417 / 7638</t>
  </si>
  <si>
    <t>Implantação do Processo Judicial Eletrônico</t>
  </si>
  <si>
    <t>0106</t>
  </si>
  <si>
    <t>Rec. Prov. Transf. - Convênios e Outros</t>
  </si>
  <si>
    <t>0318</t>
  </si>
  <si>
    <t>Rec. Próp. Fundo. Reap. Jud. - FRJ - Sup. Fin.</t>
  </si>
  <si>
    <t>1417 / 8625</t>
  </si>
  <si>
    <t>Justiça e Cidadania</t>
  </si>
  <si>
    <t>1417 / 8626</t>
  </si>
  <si>
    <t>Operacionalização das Ações Voltadas à Criança e ao Adolescente</t>
  </si>
  <si>
    <t>1417 / 8627</t>
  </si>
  <si>
    <t>Implementação das Ações da Justiça Especializada</t>
  </si>
  <si>
    <t>1417 / 8628</t>
  </si>
  <si>
    <t>Implementação das Ações da Corregedoria das Comarcas da RMB e Interior</t>
  </si>
  <si>
    <t>1417 / 8629</t>
  </si>
  <si>
    <t>Fortalecimento do Núcleo Permanente de Métodos Consensuais de Resolução de Conflitos (NUPEMEC)</t>
  </si>
  <si>
    <t>1417 / 8630</t>
  </si>
  <si>
    <t>Conciliação com a Justiça</t>
  </si>
  <si>
    <t>1417 / 8631</t>
  </si>
  <si>
    <t>Implementação das Ações da Justiça Criminal</t>
  </si>
  <si>
    <t>1418 / 8640</t>
  </si>
  <si>
    <t>Governança Institucional</t>
  </si>
  <si>
    <t>Gestão da Informação e Memória do Poder Judiciário</t>
  </si>
  <si>
    <t>1418 / 8642</t>
  </si>
  <si>
    <t>Implementação de Ações da Área Socioambiental</t>
  </si>
  <si>
    <t>1419 / 7639</t>
  </si>
  <si>
    <t>Infraestrutura e Gestão de TIC</t>
  </si>
  <si>
    <t>Ampliação da Infraestrutura Física do Poder Judiciário - 1º Grau</t>
  </si>
  <si>
    <t>5</t>
  </si>
  <si>
    <t>1419 / 7640</t>
  </si>
  <si>
    <t>Ampliação da Infraestrutura Física do Poder Judiciário - 2º Grau</t>
  </si>
  <si>
    <t xml:space="preserve">1419 / 7641 </t>
  </si>
  <si>
    <t>Ampliação da Infraestrutura Física do Poder Judiciário - Apoio Indireto à Atividade Judicante</t>
  </si>
  <si>
    <t>1419 / 8644</t>
  </si>
  <si>
    <t>Reforma e Manutenção de Prédios do Poder Judiciário - 1º Grau</t>
  </si>
  <si>
    <t>1419 / 8645</t>
  </si>
  <si>
    <t>Reforma e Manutenção de Prédios do Poder Judiciário - 2º Grau</t>
  </si>
  <si>
    <t>1419 / 8646</t>
  </si>
  <si>
    <t>Reforma e Manutenção de Prédios do Poder Judiciário - Apoio Indireto à Atividade Judicante</t>
  </si>
  <si>
    <t>1419 / 8647</t>
  </si>
  <si>
    <t>Implem. do Prog. de Seg. e Acesso aos Prédios Poder Judiciário - 1º Grau</t>
  </si>
  <si>
    <t>1419 / 8648</t>
  </si>
  <si>
    <t>Implem. do Prog. de Seg. e Acesso aos Prédios Poder Judiciário - 2º Grau</t>
  </si>
  <si>
    <t>1419 / 8649</t>
  </si>
  <si>
    <t>Implem. do Prog. de Seg. e Acesso aos Prédios Poder Judiciário - Apoio</t>
  </si>
  <si>
    <t>1419 / 8654</t>
  </si>
  <si>
    <t>Aparelhamento das Unidades Judiciárias - 1º Grau</t>
  </si>
  <si>
    <t>0323</t>
  </si>
  <si>
    <t>Recursos Proven. de Alienação de Bens - Superávit Financeiro</t>
  </si>
  <si>
    <t>1419 / 8655</t>
  </si>
  <si>
    <t>Aparelhamento das Unidades Judiciárias - 2º Grau</t>
  </si>
  <si>
    <t>1419 / 8656</t>
  </si>
  <si>
    <t>Aparelhamento das Unidades Judiciárias - Apoio Indireto à Atividade Judicante</t>
  </si>
  <si>
    <t>1418 / 8634</t>
  </si>
  <si>
    <t>Atenção Integral à Saúde de Magistrados e Servidores</t>
  </si>
  <si>
    <t>1418 / 8641</t>
  </si>
  <si>
    <t>Padronização de Rotinas, Procedimentos e Ações do Controle Interno</t>
  </si>
  <si>
    <t>1421 / 8658</t>
  </si>
  <si>
    <t>Operacionalização das Ações Administrativas da Escola Superior da Magistratura (ESM)</t>
  </si>
  <si>
    <t>1421 / 8659</t>
  </si>
  <si>
    <t>Operacionalização das Ações Administrativas do Poder Judiciário - 1º Grau</t>
  </si>
  <si>
    <t>1421 / 8669</t>
  </si>
  <si>
    <t xml:space="preserve">Operacionalização das Ações Administrativas do Poder Judiciário - 2º Grau </t>
  </si>
  <si>
    <t>1421 / 8670</t>
  </si>
  <si>
    <t>Operacionalização das Ações Administrativas do Poder Judiciário - Apoio Indireto à Atividade Judicante</t>
  </si>
  <si>
    <t>1421 / 8685</t>
  </si>
  <si>
    <t>Operacionalização das Ações Administrativas da Justiça Militar</t>
  </si>
  <si>
    <t>02 / 126</t>
  </si>
  <si>
    <t>1419 / 8643</t>
  </si>
  <si>
    <t>Implementação do Sistema de Segurança da Informação</t>
  </si>
  <si>
    <t>1419 / 8650</t>
  </si>
  <si>
    <t>Atualização Tecnológica dos Sistemas do Poder Judiciário</t>
  </si>
  <si>
    <t>1419 / 8651</t>
  </si>
  <si>
    <t xml:space="preserve">Atualização Expansão e Manutenção da Infraestrutura de Tecnologia do Poder Judiciário - 1º Grau </t>
  </si>
  <si>
    <t>1419 / 8652</t>
  </si>
  <si>
    <t xml:space="preserve">Atualização Expansão e Manutenção da Infraestrutura de Tecnologia do Poder Judiciário - 2º Grau </t>
  </si>
  <si>
    <t>1419 / 8653</t>
  </si>
  <si>
    <t xml:space="preserve">Atualização Expansão e Manutenção da Infraestrutura de Tecnologia do Poder Judiciário - Apoio </t>
  </si>
  <si>
    <t>02 / 128</t>
  </si>
  <si>
    <t>1418 / 8633</t>
  </si>
  <si>
    <t>Capacitação de Magistrados e Servidores - 1º Grau</t>
  </si>
  <si>
    <t>1418 / 8635</t>
  </si>
  <si>
    <t>Capacitação de Magistrados e Servidores  - 2º Grau</t>
  </si>
  <si>
    <t>1418 / 8636</t>
  </si>
  <si>
    <t>Capacitação de Servidores - Apoio Indireto à Atividade Judicante</t>
  </si>
  <si>
    <t>1418 / 8637</t>
  </si>
  <si>
    <t>Capacitação de Magistrados e Servidores pela Escola Superior da Magistratura (ESM)</t>
  </si>
  <si>
    <t>1418 / 8638</t>
  </si>
  <si>
    <t>Eventos Institucionais</t>
  </si>
  <si>
    <t>02 / 129</t>
  </si>
  <si>
    <t>1418 / 8639</t>
  </si>
  <si>
    <t>Fiscalização das Receitas do Fundo de Reaparelhamento do Judiciário (FRJ)</t>
  </si>
  <si>
    <t>02 / 131</t>
  </si>
  <si>
    <t>1418 / 8632</t>
  </si>
  <si>
    <t>Implementação das Ações de Comunicação e Publicidade</t>
  </si>
  <si>
    <t>1421 / 8657</t>
  </si>
  <si>
    <t>Assistência  Médica e Odontológica</t>
  </si>
  <si>
    <t>Total das dotações para despesas discricionárias da UG 04102</t>
  </si>
  <si>
    <t>Total geral das dotações para despesas discricionárias do Poder Judiciário</t>
  </si>
  <si>
    <t>Total Geral UG 04101</t>
  </si>
  <si>
    <t>Total Geral UG 04102</t>
  </si>
  <si>
    <t>Total Geral do Poder Judiciário</t>
  </si>
  <si>
    <t xml:space="preserve">(1) O preenchimanto desta coluna é de caráter excepcional. Ocorre quando a dotação atender a ambos os graus de jurisdição sem possibilidade de detalhamento. </t>
  </si>
  <si>
    <t>(2) Despesas obrigatórias: Decorrentes de obrigações constitucionais e legais, tais como: Pessoal e encargos sociais, benefícios (alimentação, transporte, pré-escola e assistência médica) e sentenças judicias.</t>
  </si>
  <si>
    <t>Obs.:</t>
  </si>
  <si>
    <t>A publicação deste QDD é exigida quando a identificação das dotações por grau de jurisdição não for feita na Proposta Orçamentária e na Lei Orçamentária Anual (Res. 195, art. 2º, § 2º).</t>
  </si>
  <si>
    <t>Dados extraídos do Siafem, no dia 29/01/2020</t>
  </si>
  <si>
    <t>Data de Publicação: 29/01/2020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</si>
</sst>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%"/>
    <numFmt numFmtId="165" formatCode="#,##0.00_ ;[Red]\-#,##0.00\ "/>
    <numFmt numFmtId="166" formatCode="_(* #,##0_);_(* \(#,##0\);_(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dotted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2" applyBorder="1"/>
    <xf numFmtId="0" fontId="3" fillId="0" borderId="0" xfId="2" applyFont="1"/>
    <xf numFmtId="0" fontId="3" fillId="0" borderId="0" xfId="2" applyFont="1" applyAlignment="1">
      <alignment horizontal="left"/>
    </xf>
    <xf numFmtId="0" fontId="3" fillId="0" borderId="0" xfId="2" applyFont="1" applyBorder="1" applyAlignment="1">
      <alignment horizontal="left"/>
    </xf>
    <xf numFmtId="0" fontId="3" fillId="0" borderId="0" xfId="2" applyFont="1" applyBorder="1"/>
    <xf numFmtId="0" fontId="3" fillId="0" borderId="0" xfId="2" applyFont="1" applyBorder="1" applyAlignment="1">
      <alignment horizontal="center"/>
    </xf>
    <xf numFmtId="164" fontId="4" fillId="0" borderId="0" xfId="4" applyNumberFormat="1" applyFont="1" applyBorder="1" applyAlignment="1">
      <alignment horizontal="center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165" fontId="5" fillId="0" borderId="10" xfId="1" applyNumberFormat="1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49" fontId="6" fillId="0" borderId="13" xfId="3" applyNumberFormat="1" applyFont="1" applyBorder="1" applyAlignment="1">
      <alignment horizontal="center" vertical="center" wrapText="1"/>
    </xf>
    <xf numFmtId="49" fontId="5" fillId="0" borderId="14" xfId="3" applyNumberFormat="1" applyFont="1" applyBorder="1" applyAlignment="1">
      <alignment horizontal="center" vertical="center" wrapText="1"/>
    </xf>
    <xf numFmtId="0" fontId="5" fillId="0" borderId="15" xfId="3" applyFont="1" applyBorder="1" applyAlignment="1">
      <alignment horizontal="center" vertical="center" wrapText="1"/>
    </xf>
    <xf numFmtId="49" fontId="6" fillId="0" borderId="15" xfId="3" applyNumberFormat="1" applyFont="1" applyBorder="1" applyAlignment="1">
      <alignment horizontal="center" vertical="center" wrapText="1"/>
    </xf>
    <xf numFmtId="165" fontId="5" fillId="0" borderId="14" xfId="3" applyNumberFormat="1" applyFont="1" applyBorder="1" applyAlignment="1">
      <alignment horizontal="center" vertical="center"/>
    </xf>
    <xf numFmtId="165" fontId="5" fillId="0" borderId="15" xfId="3" applyNumberFormat="1" applyFont="1" applyBorder="1" applyAlignment="1">
      <alignment horizontal="center" vertical="center"/>
    </xf>
    <xf numFmtId="165" fontId="5" fillId="0" borderId="16" xfId="1" applyNumberFormat="1" applyFont="1" applyBorder="1" applyAlignment="1">
      <alignment horizontal="center" vertical="center" wrapText="1"/>
    </xf>
    <xf numFmtId="165" fontId="5" fillId="0" borderId="17" xfId="1" applyNumberFormat="1" applyFont="1" applyBorder="1" applyAlignment="1">
      <alignment horizontal="center" vertical="center" wrapText="1"/>
    </xf>
    <xf numFmtId="49" fontId="3" fillId="0" borderId="18" xfId="6" applyNumberFormat="1" applyFont="1" applyFill="1" applyBorder="1" applyAlignment="1">
      <alignment horizontal="center" wrapText="1"/>
    </xf>
    <xf numFmtId="49" fontId="3" fillId="0" borderId="19" xfId="6" applyNumberFormat="1" applyFont="1" applyFill="1" applyBorder="1" applyAlignment="1">
      <alignment horizontal="left" wrapText="1"/>
    </xf>
    <xf numFmtId="49" fontId="3" fillId="0" borderId="19" xfId="6" applyNumberFormat="1" applyFont="1" applyFill="1" applyBorder="1" applyAlignment="1">
      <alignment horizontal="center" wrapText="1"/>
    </xf>
    <xf numFmtId="49" fontId="3" fillId="0" borderId="20" xfId="6" applyNumberFormat="1" applyFont="1" applyFill="1" applyBorder="1" applyAlignment="1">
      <alignment horizontal="left" wrapText="1"/>
    </xf>
    <xf numFmtId="4" fontId="3" fillId="0" borderId="19" xfId="7" applyNumberFormat="1" applyFont="1" applyBorder="1" applyAlignment="1">
      <alignment horizontal="right"/>
    </xf>
    <xf numFmtId="4" fontId="3" fillId="0" borderId="21" xfId="7" applyNumberFormat="1" applyFont="1" applyBorder="1" applyAlignment="1">
      <alignment horizontal="right"/>
    </xf>
    <xf numFmtId="0" fontId="2" fillId="0" borderId="0" xfId="2" applyBorder="1" applyAlignment="1"/>
    <xf numFmtId="49" fontId="3" fillId="0" borderId="22" xfId="6" applyNumberFormat="1" applyFont="1" applyFill="1" applyBorder="1" applyAlignment="1">
      <alignment horizontal="left" wrapText="1"/>
    </xf>
    <xf numFmtId="49" fontId="3" fillId="0" borderId="22" xfId="6" applyNumberFormat="1" applyFont="1" applyFill="1" applyBorder="1" applyAlignment="1">
      <alignment horizontal="center" wrapText="1"/>
    </xf>
    <xf numFmtId="4" fontId="3" fillId="0" borderId="22" xfId="7" applyNumberFormat="1" applyFont="1" applyBorder="1" applyAlignment="1">
      <alignment horizontal="right"/>
    </xf>
    <xf numFmtId="4" fontId="3" fillId="0" borderId="23" xfId="7" applyNumberFormat="1" applyFont="1" applyBorder="1" applyAlignment="1">
      <alignment horizontal="right"/>
    </xf>
    <xf numFmtId="49" fontId="3" fillId="0" borderId="19" xfId="6" applyNumberFormat="1" applyFont="1" applyFill="1" applyBorder="1" applyAlignment="1">
      <alignment wrapText="1"/>
    </xf>
    <xf numFmtId="49" fontId="3" fillId="0" borderId="22" xfId="6" applyNumberFormat="1" applyFont="1" applyFill="1" applyBorder="1" applyAlignment="1">
      <alignment wrapText="1"/>
    </xf>
    <xf numFmtId="49" fontId="3" fillId="0" borderId="24" xfId="6" applyNumberFormat="1" applyFont="1" applyFill="1" applyBorder="1" applyAlignment="1">
      <alignment horizontal="left" wrapText="1"/>
    </xf>
    <xf numFmtId="49" fontId="3" fillId="0" borderId="20" xfId="6" applyNumberFormat="1" applyFont="1" applyFill="1" applyBorder="1" applyAlignment="1">
      <alignment wrapText="1"/>
    </xf>
    <xf numFmtId="49" fontId="3" fillId="0" borderId="24" xfId="6" applyNumberFormat="1" applyFont="1" applyFill="1" applyBorder="1" applyAlignment="1">
      <alignment horizontal="center" wrapText="1"/>
    </xf>
    <xf numFmtId="49" fontId="3" fillId="0" borderId="24" xfId="6" applyNumberFormat="1" applyFont="1" applyFill="1" applyBorder="1" applyAlignment="1">
      <alignment wrapText="1"/>
    </xf>
    <xf numFmtId="4" fontId="3" fillId="0" borderId="24" xfId="7" applyNumberFormat="1" applyFont="1" applyBorder="1" applyAlignment="1">
      <alignment horizontal="right"/>
    </xf>
    <xf numFmtId="4" fontId="3" fillId="0" borderId="25" xfId="7" applyNumberFormat="1" applyFont="1" applyBorder="1" applyAlignment="1">
      <alignment horizontal="right"/>
    </xf>
    <xf numFmtId="4" fontId="3" fillId="0" borderId="26" xfId="7" applyNumberFormat="1" applyFont="1" applyBorder="1" applyAlignment="1">
      <alignment horizontal="right"/>
    </xf>
    <xf numFmtId="49" fontId="3" fillId="0" borderId="27" xfId="6" applyNumberFormat="1" applyFont="1" applyFill="1" applyBorder="1" applyAlignment="1">
      <alignment horizontal="center" wrapText="1"/>
    </xf>
    <xf numFmtId="4" fontId="3" fillId="0" borderId="28" xfId="7" applyNumberFormat="1" applyFont="1" applyBorder="1" applyAlignment="1">
      <alignment horizontal="right"/>
    </xf>
    <xf numFmtId="4" fontId="5" fillId="0" borderId="29" xfId="7" applyNumberFormat="1" applyFont="1" applyBorder="1" applyAlignment="1">
      <alignment horizontal="right" vertical="center"/>
    </xf>
    <xf numFmtId="4" fontId="5" fillId="0" borderId="30" xfId="7" applyNumberFormat="1" applyFont="1" applyBorder="1" applyAlignment="1">
      <alignment horizontal="right" vertical="center"/>
    </xf>
    <xf numFmtId="4" fontId="5" fillId="0" borderId="34" xfId="7" applyNumberFormat="1" applyFont="1" applyBorder="1" applyAlignment="1">
      <alignment horizontal="right" vertical="center"/>
    </xf>
    <xf numFmtId="4" fontId="5" fillId="0" borderId="35" xfId="7" applyNumberFormat="1" applyFont="1" applyBorder="1" applyAlignment="1">
      <alignment horizontal="right" vertical="center"/>
    </xf>
    <xf numFmtId="49" fontId="5" fillId="0" borderId="36" xfId="6" applyNumberFormat="1" applyFont="1" applyFill="1" applyBorder="1" applyAlignment="1">
      <alignment horizontal="center" vertical="center" wrapText="1"/>
    </xf>
    <xf numFmtId="4" fontId="5" fillId="0" borderId="36" xfId="7" applyNumberFormat="1" applyFont="1" applyBorder="1" applyAlignment="1">
      <alignment horizontal="right" vertical="center"/>
    </xf>
    <xf numFmtId="4" fontId="5" fillId="0" borderId="37" xfId="7" applyNumberFormat="1" applyFont="1" applyBorder="1" applyAlignment="1">
      <alignment horizontal="right" vertical="center"/>
    </xf>
    <xf numFmtId="49" fontId="4" fillId="0" borderId="22" xfId="6" applyNumberFormat="1" applyFont="1" applyFill="1" applyBorder="1" applyAlignment="1">
      <alignment horizontal="left" wrapText="1"/>
    </xf>
    <xf numFmtId="4" fontId="3" fillId="0" borderId="19" xfId="7" applyNumberFormat="1" applyFont="1" applyBorder="1" applyAlignment="1"/>
    <xf numFmtId="4" fontId="3" fillId="0" borderId="21" xfId="7" applyNumberFormat="1" applyFont="1" applyBorder="1" applyAlignment="1"/>
    <xf numFmtId="49" fontId="4" fillId="0" borderId="19" xfId="6" applyNumberFormat="1" applyFont="1" applyFill="1" applyBorder="1" applyAlignment="1">
      <alignment horizontal="left" wrapText="1"/>
    </xf>
    <xf numFmtId="4" fontId="3" fillId="0" borderId="25" xfId="7" applyNumberFormat="1" applyFont="1" applyBorder="1" applyAlignment="1"/>
    <xf numFmtId="4" fontId="3" fillId="0" borderId="26" xfId="7" applyNumberFormat="1" applyFont="1" applyBorder="1" applyAlignment="1"/>
    <xf numFmtId="4" fontId="5" fillId="0" borderId="29" xfId="7" applyNumberFormat="1" applyFont="1" applyBorder="1" applyAlignment="1">
      <alignment vertical="center"/>
    </xf>
    <xf numFmtId="4" fontId="5" fillId="0" borderId="30" xfId="7" applyNumberFormat="1" applyFont="1" applyBorder="1" applyAlignment="1">
      <alignment vertical="center"/>
    </xf>
    <xf numFmtId="49" fontId="3" fillId="0" borderId="38" xfId="6" applyNumberFormat="1" applyFont="1" applyFill="1" applyBorder="1" applyAlignment="1">
      <alignment horizontal="center" wrapText="1"/>
    </xf>
    <xf numFmtId="49" fontId="3" fillId="0" borderId="38" xfId="6" applyNumberFormat="1" applyFont="1" applyFill="1" applyBorder="1" applyAlignment="1">
      <alignment horizontal="left" wrapText="1"/>
    </xf>
    <xf numFmtId="4" fontId="3" fillId="0" borderId="38" xfId="7" applyNumberFormat="1" applyFont="1" applyBorder="1" applyAlignment="1"/>
    <xf numFmtId="4" fontId="3" fillId="0" borderId="22" xfId="7" applyNumberFormat="1" applyFont="1" applyBorder="1" applyAlignment="1"/>
    <xf numFmtId="49" fontId="3" fillId="2" borderId="22" xfId="3" applyNumberFormat="1" applyFont="1" applyFill="1" applyBorder="1" applyAlignment="1">
      <alignment horizontal="center" wrapText="1"/>
    </xf>
    <xf numFmtId="49" fontId="3" fillId="2" borderId="22" xfId="3" applyNumberFormat="1" applyFont="1" applyFill="1" applyBorder="1" applyAlignment="1">
      <alignment horizontal="justify" wrapText="1"/>
    </xf>
    <xf numFmtId="4" fontId="3" fillId="0" borderId="23" xfId="7" applyNumberFormat="1" applyFont="1" applyBorder="1" applyAlignment="1"/>
    <xf numFmtId="49" fontId="3" fillId="0" borderId="22" xfId="3" applyNumberFormat="1" applyFont="1" applyFill="1" applyBorder="1" applyAlignment="1">
      <alignment horizontal="justify" wrapText="1"/>
    </xf>
    <xf numFmtId="0" fontId="7" fillId="0" borderId="0" xfId="2" applyFont="1" applyBorder="1"/>
    <xf numFmtId="164" fontId="8" fillId="0" borderId="0" xfId="4" applyNumberFormat="1" applyFont="1" applyBorder="1" applyAlignment="1">
      <alignment horizontal="center"/>
    </xf>
    <xf numFmtId="4" fontId="5" fillId="0" borderId="34" xfId="7" applyNumberFormat="1" applyFont="1" applyBorder="1" applyAlignment="1">
      <alignment vertical="center"/>
    </xf>
    <xf numFmtId="4" fontId="5" fillId="0" borderId="35" xfId="7" applyNumberFormat="1" applyFont="1" applyBorder="1" applyAlignment="1">
      <alignment vertical="center"/>
    </xf>
    <xf numFmtId="49" fontId="5" fillId="0" borderId="32" xfId="6" applyNumberFormat="1" applyFont="1" applyFill="1" applyBorder="1" applyAlignment="1">
      <alignment horizontal="center" vertical="center" wrapText="1"/>
    </xf>
    <xf numFmtId="4" fontId="5" fillId="0" borderId="32" xfId="7" applyNumberFormat="1" applyFont="1" applyBorder="1" applyAlignment="1">
      <alignment vertical="center"/>
    </xf>
    <xf numFmtId="4" fontId="5" fillId="0" borderId="34" xfId="7" applyNumberFormat="1" applyFont="1" applyFill="1" applyBorder="1" applyAlignment="1">
      <alignment vertical="center" wrapText="1"/>
    </xf>
    <xf numFmtId="4" fontId="5" fillId="0" borderId="35" xfId="7" applyNumberFormat="1" applyFont="1" applyFill="1" applyBorder="1" applyAlignment="1">
      <alignment vertical="center" wrapText="1"/>
    </xf>
    <xf numFmtId="166" fontId="3" fillId="0" borderId="0" xfId="2" applyNumberFormat="1" applyFont="1" applyBorder="1"/>
    <xf numFmtId="43" fontId="3" fillId="0" borderId="0" xfId="1" applyFont="1" applyBorder="1"/>
    <xf numFmtId="0" fontId="2" fillId="0" borderId="0" xfId="2" applyBorder="1" applyAlignment="1">
      <alignment horizontal="left"/>
    </xf>
    <xf numFmtId="0" fontId="2" fillId="0" borderId="0" xfId="2" applyBorder="1" applyAlignment="1">
      <alignment horizontal="center"/>
    </xf>
    <xf numFmtId="0" fontId="9" fillId="0" borderId="0" xfId="2" applyFont="1" applyBorder="1"/>
    <xf numFmtId="0" fontId="9" fillId="0" borderId="0" xfId="2" applyFont="1" applyBorder="1" applyAlignment="1">
      <alignment horizontal="left"/>
    </xf>
    <xf numFmtId="167" fontId="3" fillId="0" borderId="0" xfId="2" applyNumberFormat="1" applyFont="1" applyBorder="1"/>
    <xf numFmtId="4" fontId="3" fillId="0" borderId="0" xfId="2" applyNumberFormat="1" applyFont="1" applyBorder="1"/>
    <xf numFmtId="49" fontId="2" fillId="0" borderId="0" xfId="2" applyNumberFormat="1" applyBorder="1" applyAlignment="1">
      <alignment horizontal="center"/>
    </xf>
    <xf numFmtId="166" fontId="2" fillId="0" borderId="0" xfId="2" applyNumberFormat="1" applyFont="1" applyBorder="1"/>
    <xf numFmtId="4" fontId="2" fillId="0" borderId="0" xfId="2" applyNumberFormat="1" applyBorder="1"/>
    <xf numFmtId="0" fontId="12" fillId="0" borderId="0" xfId="2" applyFont="1" applyBorder="1" applyAlignment="1">
      <alignment horizontal="center"/>
    </xf>
    <xf numFmtId="166" fontId="7" fillId="0" borderId="0" xfId="2" applyNumberFormat="1" applyFont="1" applyBorder="1"/>
    <xf numFmtId="166" fontId="2" fillId="0" borderId="0" xfId="2" applyNumberFormat="1" applyBorder="1"/>
    <xf numFmtId="166" fontId="5" fillId="0" borderId="0" xfId="2" applyNumberFormat="1" applyFont="1" applyBorder="1"/>
    <xf numFmtId="0" fontId="13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2" xfId="1" applyNumberFormat="1" applyFont="1" applyBorder="1" applyAlignment="1">
      <alignment horizontal="center" vertical="center" wrapText="1"/>
    </xf>
    <xf numFmtId="165" fontId="5" fillId="0" borderId="3" xfId="1" applyNumberFormat="1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/>
    </xf>
    <xf numFmtId="43" fontId="5" fillId="0" borderId="2" xfId="1" applyFont="1" applyBorder="1" applyAlignment="1">
      <alignment horizontal="center" vertical="center"/>
    </xf>
    <xf numFmtId="43" fontId="5" fillId="0" borderId="5" xfId="1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3" fillId="0" borderId="0" xfId="3" applyFont="1" applyAlignment="1">
      <alignment horizontal="center" vertical="center"/>
    </xf>
    <xf numFmtId="49" fontId="3" fillId="0" borderId="0" xfId="3" applyNumberFormat="1" applyFont="1" applyAlignment="1">
      <alignment horizontal="center" vertical="center"/>
    </xf>
    <xf numFmtId="0" fontId="5" fillId="0" borderId="0" xfId="5" applyFont="1" applyAlignment="1">
      <alignment horizontal="center"/>
    </xf>
    <xf numFmtId="49" fontId="5" fillId="0" borderId="31" xfId="6" applyNumberFormat="1" applyFont="1" applyFill="1" applyBorder="1" applyAlignment="1">
      <alignment horizontal="center" vertical="center" wrapText="1"/>
    </xf>
    <xf numFmtId="49" fontId="5" fillId="0" borderId="32" xfId="6" applyNumberFormat="1" applyFont="1" applyFill="1" applyBorder="1" applyAlignment="1">
      <alignment horizontal="center" vertical="center" wrapText="1"/>
    </xf>
    <xf numFmtId="49" fontId="5" fillId="0" borderId="33" xfId="6" applyNumberFormat="1" applyFont="1" applyFill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6" fillId="0" borderId="15" xfId="3" applyFont="1" applyBorder="1" applyAlignment="1">
      <alignment horizontal="center" vertical="center" wrapText="1"/>
    </xf>
    <xf numFmtId="165" fontId="5" fillId="0" borderId="9" xfId="1" applyNumberFormat="1" applyFont="1" applyBorder="1" applyAlignment="1">
      <alignment horizontal="center" vertical="center" wrapText="1"/>
    </xf>
    <xf numFmtId="165" fontId="5" fillId="0" borderId="11" xfId="1" applyNumberFormat="1" applyFont="1" applyBorder="1" applyAlignment="1">
      <alignment horizontal="center" vertical="center" wrapText="1"/>
    </xf>
    <xf numFmtId="165" fontId="5" fillId="0" borderId="7" xfId="1" applyNumberFormat="1" applyFont="1" applyBorder="1" applyAlignment="1">
      <alignment horizontal="center" vertical="center" wrapText="1"/>
    </xf>
    <xf numFmtId="165" fontId="5" fillId="0" borderId="12" xfId="1" applyNumberFormat="1" applyFont="1" applyBorder="1" applyAlignment="1">
      <alignment horizontal="center" vertical="center" wrapText="1"/>
    </xf>
    <xf numFmtId="49" fontId="5" fillId="0" borderId="1" xfId="6" applyNumberFormat="1" applyFont="1" applyFill="1" applyBorder="1" applyAlignment="1">
      <alignment horizontal="left" vertical="center" wrapText="1"/>
    </xf>
    <xf numFmtId="49" fontId="5" fillId="0" borderId="2" xfId="6" applyNumberFormat="1" applyFont="1" applyFill="1" applyBorder="1" applyAlignment="1">
      <alignment horizontal="left" vertical="center" wrapText="1"/>
    </xf>
    <xf numFmtId="49" fontId="5" fillId="0" borderId="5" xfId="6" applyNumberFormat="1" applyFont="1" applyFill="1" applyBorder="1" applyAlignment="1">
      <alignment horizontal="left" vertical="center" wrapText="1"/>
    </xf>
    <xf numFmtId="49" fontId="5" fillId="0" borderId="6" xfId="6" applyNumberFormat="1" applyFont="1" applyFill="1" applyBorder="1" applyAlignment="1">
      <alignment horizontal="center" vertical="center" wrapText="1"/>
    </xf>
    <xf numFmtId="49" fontId="5" fillId="0" borderId="11" xfId="6" applyNumberFormat="1" applyFont="1" applyFill="1" applyBorder="1" applyAlignment="1">
      <alignment horizontal="center" vertical="center" wrapText="1"/>
    </xf>
    <xf numFmtId="49" fontId="5" fillId="0" borderId="7" xfId="6" applyNumberFormat="1" applyFont="1" applyFill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15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49" fontId="5" fillId="0" borderId="9" xfId="3" applyNumberFormat="1" applyFont="1" applyBorder="1" applyAlignment="1">
      <alignment horizontal="center" vertical="center" wrapText="1"/>
    </xf>
    <xf numFmtId="49" fontId="5" fillId="0" borderId="7" xfId="3" applyNumberFormat="1" applyFont="1" applyBorder="1" applyAlignment="1">
      <alignment horizontal="center" vertical="center" wrapText="1"/>
    </xf>
    <xf numFmtId="0" fontId="5" fillId="0" borderId="31" xfId="6" applyFont="1" applyFill="1" applyBorder="1" applyAlignment="1">
      <alignment horizontal="center" vertical="center" wrapText="1"/>
    </xf>
    <xf numFmtId="0" fontId="5" fillId="0" borderId="32" xfId="6" applyFont="1" applyFill="1" applyBorder="1" applyAlignment="1">
      <alignment horizontal="center" vertical="center" wrapText="1"/>
    </xf>
    <xf numFmtId="0" fontId="5" fillId="0" borderId="33" xfId="6" applyFont="1" applyFill="1" applyBorder="1" applyAlignment="1">
      <alignment horizontal="center" vertical="center" wrapText="1"/>
    </xf>
    <xf numFmtId="49" fontId="10" fillId="0" borderId="0" xfId="2" applyNumberFormat="1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</cellXfs>
  <cellStyles count="8">
    <cellStyle name="Normal" xfId="0" builtinId="0"/>
    <cellStyle name="Normal 2" xfId="2"/>
    <cellStyle name="Normal 2 2" xfId="3"/>
    <cellStyle name="Normal 2 3" xfId="6"/>
    <cellStyle name="Normal 4" xfId="5"/>
    <cellStyle name="Porcentagem 2" xfId="4"/>
    <cellStyle name="Vírgula" xfId="1" builtinId="3"/>
    <cellStyle name="Vírgula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2009775</xdr:colOff>
          <xdr:row>0</xdr:row>
          <xdr:rowOff>38100</xdr:rowOff>
        </xdr:from>
        <xdr:to>
          <xdr:col>5</xdr:col>
          <xdr:colOff>2409825</xdr:colOff>
          <xdr:row>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0</xdr:row>
          <xdr:rowOff>28575</xdr:rowOff>
        </xdr:from>
        <xdr:to>
          <xdr:col>13</xdr:col>
          <xdr:colOff>571500</xdr:colOff>
          <xdr:row>2</xdr:row>
          <xdr:rowOff>114300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IR254"/>
  <sheetViews>
    <sheetView showGridLines="0" tabSelected="1" zoomScale="120" zoomScaleNormal="120" workbookViewId="0">
      <selection activeCell="E17" sqref="E17"/>
    </sheetView>
  </sheetViews>
  <sheetFormatPr defaultColWidth="7.5703125" defaultRowHeight="12.75" x14ac:dyDescent="0.2"/>
  <cols>
    <col min="1" max="1" width="6.42578125" style="1" customWidth="1"/>
    <col min="2" max="2" width="10.85546875" style="76" customWidth="1"/>
    <col min="3" max="3" width="7.140625" style="1" customWidth="1"/>
    <col min="4" max="4" width="10.140625" style="1" customWidth="1"/>
    <col min="5" max="5" width="13.85546875" style="76" customWidth="1"/>
    <col min="6" max="6" width="22.85546875" style="76" customWidth="1"/>
    <col min="7" max="7" width="4.5703125" style="1" customWidth="1"/>
    <col min="8" max="8" width="5.7109375" style="77" customWidth="1"/>
    <col min="9" max="9" width="17.7109375" style="76" customWidth="1"/>
    <col min="10" max="10" width="4.42578125" style="77" customWidth="1"/>
    <col min="11" max="14" width="14.42578125" style="1" customWidth="1"/>
    <col min="15" max="15" width="14.42578125" style="7" customWidth="1"/>
    <col min="16" max="24" width="14.42578125" style="1" customWidth="1"/>
    <col min="25" max="243" width="9.140625" style="1" customWidth="1"/>
    <col min="244" max="245" width="12.42578125" style="1" customWidth="1"/>
    <col min="246" max="246" width="11.5703125" style="1" customWidth="1"/>
    <col min="247" max="247" width="14.140625" style="1" bestFit="1" customWidth="1"/>
    <col min="248" max="248" width="23.7109375" style="1" customWidth="1"/>
    <col min="249" max="249" width="22.140625" style="1" customWidth="1"/>
    <col min="250" max="250" width="9.28515625" style="1" customWidth="1"/>
    <col min="251" max="251" width="6.5703125" style="1" customWidth="1"/>
    <col min="252" max="252" width="15.5703125" style="1" customWidth="1"/>
    <col min="253" max="16384" width="7.5703125" style="1"/>
  </cols>
  <sheetData>
    <row r="4" spans="1:25" x14ac:dyDescent="0.2">
      <c r="A4" s="102" t="s">
        <v>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</row>
    <row r="5" spans="1:25" x14ac:dyDescent="0.2">
      <c r="A5" s="102" t="s">
        <v>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</row>
    <row r="6" spans="1:25" x14ac:dyDescent="0.2">
      <c r="A6" s="103" t="s">
        <v>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</row>
    <row r="7" spans="1:25" x14ac:dyDescent="0.2">
      <c r="A7" s="104" t="s">
        <v>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</row>
    <row r="8" spans="1:25" ht="4.5" customHeight="1" x14ac:dyDescent="0.2">
      <c r="A8" s="2"/>
      <c r="B8" s="3"/>
      <c r="C8" s="2"/>
      <c r="D8" s="2"/>
      <c r="E8" s="4"/>
      <c r="F8" s="4"/>
      <c r="G8" s="5"/>
      <c r="H8" s="6"/>
      <c r="I8" s="4"/>
      <c r="J8" s="6"/>
      <c r="K8" s="5"/>
      <c r="L8" s="5"/>
      <c r="M8" s="5"/>
      <c r="N8" s="5"/>
    </row>
    <row r="9" spans="1:25" x14ac:dyDescent="0.2">
      <c r="A9" s="105" t="s">
        <v>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</row>
    <row r="10" spans="1:25" s="91" customFormat="1" ht="15" x14ac:dyDescent="0.25">
      <c r="A10" s="92" t="s">
        <v>239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90"/>
    </row>
    <row r="11" spans="1:25" s="91" customFormat="1" ht="6" customHeight="1" thickBot="1" x14ac:dyDescent="0.3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90"/>
    </row>
    <row r="12" spans="1:25" s="9" customFormat="1" ht="24" customHeight="1" x14ac:dyDescent="0.25">
      <c r="A12" s="93" t="s">
        <v>5</v>
      </c>
      <c r="B12" s="94"/>
      <c r="C12" s="94"/>
      <c r="D12" s="94"/>
      <c r="E12" s="94"/>
      <c r="F12" s="94"/>
      <c r="G12" s="94"/>
      <c r="H12" s="94"/>
      <c r="I12" s="94"/>
      <c r="J12" s="95"/>
      <c r="K12" s="96" t="s">
        <v>6</v>
      </c>
      <c r="L12" s="97"/>
      <c r="M12" s="97"/>
      <c r="N12" s="97"/>
      <c r="O12" s="98"/>
      <c r="P12" s="99" t="s">
        <v>7</v>
      </c>
      <c r="Q12" s="100"/>
      <c r="R12" s="100"/>
      <c r="S12" s="100"/>
      <c r="T12" s="100"/>
      <c r="U12" s="100"/>
      <c r="V12" s="100"/>
      <c r="W12" s="100"/>
      <c r="X12" s="101"/>
      <c r="Y12" s="8"/>
    </row>
    <row r="13" spans="1:25" s="12" customFormat="1" ht="33.75" customHeight="1" x14ac:dyDescent="0.25">
      <c r="A13" s="121" t="s">
        <v>8</v>
      </c>
      <c r="B13" s="122"/>
      <c r="C13" s="109" t="s">
        <v>9</v>
      </c>
      <c r="D13" s="123" t="s">
        <v>10</v>
      </c>
      <c r="E13" s="125" t="s">
        <v>11</v>
      </c>
      <c r="F13" s="122"/>
      <c r="G13" s="109" t="s">
        <v>12</v>
      </c>
      <c r="H13" s="126" t="s">
        <v>13</v>
      </c>
      <c r="I13" s="127"/>
      <c r="J13" s="109" t="s">
        <v>14</v>
      </c>
      <c r="K13" s="10" t="s">
        <v>15</v>
      </c>
      <c r="L13" s="10" t="s">
        <v>16</v>
      </c>
      <c r="M13" s="10" t="s">
        <v>17</v>
      </c>
      <c r="N13" s="10" t="s">
        <v>18</v>
      </c>
      <c r="O13" s="10" t="s">
        <v>19</v>
      </c>
      <c r="P13" s="111" t="s">
        <v>20</v>
      </c>
      <c r="Q13" s="112"/>
      <c r="R13" s="113"/>
      <c r="S13" s="111" t="s">
        <v>21</v>
      </c>
      <c r="T13" s="112"/>
      <c r="U13" s="113"/>
      <c r="V13" s="111" t="s">
        <v>22</v>
      </c>
      <c r="W13" s="112"/>
      <c r="X13" s="114"/>
      <c r="Y13" s="11"/>
    </row>
    <row r="14" spans="1:25" s="12" customFormat="1" ht="24" customHeight="1" thickBot="1" x14ac:dyDescent="0.3">
      <c r="A14" s="13" t="s">
        <v>23</v>
      </c>
      <c r="B14" s="14" t="s">
        <v>11</v>
      </c>
      <c r="C14" s="110"/>
      <c r="D14" s="124"/>
      <c r="E14" s="15" t="s">
        <v>24</v>
      </c>
      <c r="F14" s="15" t="s">
        <v>25</v>
      </c>
      <c r="G14" s="110"/>
      <c r="H14" s="16" t="s">
        <v>26</v>
      </c>
      <c r="I14" s="14" t="s">
        <v>11</v>
      </c>
      <c r="J14" s="110"/>
      <c r="K14" s="17" t="s">
        <v>27</v>
      </c>
      <c r="L14" s="18" t="s">
        <v>28</v>
      </c>
      <c r="M14" s="18" t="s">
        <v>29</v>
      </c>
      <c r="N14" s="18" t="s">
        <v>30</v>
      </c>
      <c r="O14" s="18" t="s">
        <v>31</v>
      </c>
      <c r="P14" s="19" t="s">
        <v>32</v>
      </c>
      <c r="Q14" s="19" t="s">
        <v>33</v>
      </c>
      <c r="R14" s="19" t="s">
        <v>34</v>
      </c>
      <c r="S14" s="19" t="s">
        <v>32</v>
      </c>
      <c r="T14" s="19" t="s">
        <v>33</v>
      </c>
      <c r="U14" s="19" t="s">
        <v>34</v>
      </c>
      <c r="V14" s="19" t="s">
        <v>32</v>
      </c>
      <c r="W14" s="19" t="s">
        <v>33</v>
      </c>
      <c r="X14" s="20" t="s">
        <v>34</v>
      </c>
      <c r="Y14" s="11"/>
    </row>
    <row r="15" spans="1:25" ht="21" customHeight="1" x14ac:dyDescent="0.2">
      <c r="A15" s="115" t="s">
        <v>35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7"/>
    </row>
    <row r="16" spans="1:25" s="27" customFormat="1" ht="36.75" customHeight="1" x14ac:dyDescent="0.2">
      <c r="A16" s="21" t="s">
        <v>36</v>
      </c>
      <c r="B16" s="22" t="s">
        <v>37</v>
      </c>
      <c r="C16" s="23" t="s">
        <v>38</v>
      </c>
      <c r="D16" s="23" t="s">
        <v>39</v>
      </c>
      <c r="E16" s="22" t="s">
        <v>40</v>
      </c>
      <c r="F16" s="24" t="s">
        <v>41</v>
      </c>
      <c r="G16" s="23" t="s">
        <v>42</v>
      </c>
      <c r="H16" s="23" t="s">
        <v>43</v>
      </c>
      <c r="I16" s="22" t="s">
        <v>44</v>
      </c>
      <c r="J16" s="23" t="s">
        <v>42</v>
      </c>
      <c r="K16" s="25">
        <v>15574443</v>
      </c>
      <c r="L16" s="25">
        <f>-6595387</f>
        <v>-6595387</v>
      </c>
      <c r="M16" s="25">
        <v>0</v>
      </c>
      <c r="N16" s="25">
        <v>0</v>
      </c>
      <c r="O16" s="25">
        <f t="shared" ref="O16:O61" si="0">K16+L16+M16+N16</f>
        <v>8979056</v>
      </c>
      <c r="P16" s="25">
        <v>8792165.5299999993</v>
      </c>
      <c r="Q16" s="25">
        <v>8792165.5299999993</v>
      </c>
      <c r="R16" s="25">
        <v>8792165.5299999993</v>
      </c>
      <c r="S16" s="25"/>
      <c r="T16" s="25"/>
      <c r="U16" s="25"/>
      <c r="V16" s="25"/>
      <c r="W16" s="25"/>
      <c r="X16" s="26"/>
    </row>
    <row r="17" spans="1:252" s="27" customFormat="1" ht="36.75" customHeight="1" x14ac:dyDescent="0.2">
      <c r="A17" s="21" t="s">
        <v>36</v>
      </c>
      <c r="B17" s="22" t="s">
        <v>37</v>
      </c>
      <c r="C17" s="23" t="s">
        <v>38</v>
      </c>
      <c r="D17" s="23" t="s">
        <v>45</v>
      </c>
      <c r="E17" s="22" t="s">
        <v>40</v>
      </c>
      <c r="F17" s="24" t="s">
        <v>46</v>
      </c>
      <c r="G17" s="23" t="s">
        <v>42</v>
      </c>
      <c r="H17" s="23" t="s">
        <v>43</v>
      </c>
      <c r="I17" s="28" t="s">
        <v>44</v>
      </c>
      <c r="J17" s="23" t="s">
        <v>42</v>
      </c>
      <c r="K17" s="25">
        <v>876810</v>
      </c>
      <c r="L17" s="25">
        <f>850000</f>
        <v>850000</v>
      </c>
      <c r="M17" s="25">
        <v>0</v>
      </c>
      <c r="N17" s="25">
        <v>0</v>
      </c>
      <c r="O17" s="25">
        <f t="shared" si="0"/>
        <v>1726810</v>
      </c>
      <c r="P17" s="25"/>
      <c r="Q17" s="25"/>
      <c r="R17" s="25"/>
      <c r="S17" s="25"/>
      <c r="T17" s="25"/>
      <c r="U17" s="25"/>
      <c r="V17" s="25">
        <v>1721967.9</v>
      </c>
      <c r="W17" s="25">
        <v>1721967.9</v>
      </c>
      <c r="X17" s="26">
        <v>1721967.9</v>
      </c>
    </row>
    <row r="18" spans="1:252" s="7" customFormat="1" ht="36.75" customHeight="1" x14ac:dyDescent="0.2">
      <c r="A18" s="21" t="s">
        <v>36</v>
      </c>
      <c r="B18" s="28" t="s">
        <v>37</v>
      </c>
      <c r="C18" s="29" t="s">
        <v>47</v>
      </c>
      <c r="D18" s="29" t="s">
        <v>48</v>
      </c>
      <c r="E18" s="28" t="s">
        <v>49</v>
      </c>
      <c r="F18" s="28" t="s">
        <v>50</v>
      </c>
      <c r="G18" s="23" t="s">
        <v>42</v>
      </c>
      <c r="H18" s="23" t="s">
        <v>43</v>
      </c>
      <c r="I18" s="28" t="s">
        <v>44</v>
      </c>
      <c r="J18" s="23" t="s">
        <v>42</v>
      </c>
      <c r="K18" s="25">
        <v>465611890</v>
      </c>
      <c r="L18" s="25">
        <f>27141711-3722000</f>
        <v>23419711</v>
      </c>
      <c r="M18" s="25">
        <v>0</v>
      </c>
      <c r="N18" s="25">
        <f>-1508916.86</f>
        <v>-1508916.86</v>
      </c>
      <c r="O18" s="25">
        <f t="shared" si="0"/>
        <v>487522684.13999999</v>
      </c>
      <c r="P18" s="25">
        <v>487381195.81999999</v>
      </c>
      <c r="Q18" s="25">
        <v>487381195.81999999</v>
      </c>
      <c r="R18" s="25">
        <v>481320524.17000002</v>
      </c>
      <c r="S18" s="25"/>
      <c r="T18" s="25"/>
      <c r="U18" s="25"/>
      <c r="V18" s="25"/>
      <c r="W18" s="25"/>
      <c r="X18" s="26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</row>
    <row r="19" spans="1:252" s="7" customFormat="1" ht="36.75" customHeight="1" x14ac:dyDescent="0.2">
      <c r="A19" s="21" t="s">
        <v>36</v>
      </c>
      <c r="B19" s="28" t="s">
        <v>37</v>
      </c>
      <c r="C19" s="29" t="s">
        <v>47</v>
      </c>
      <c r="D19" s="29" t="s">
        <v>48</v>
      </c>
      <c r="E19" s="28" t="s">
        <v>49</v>
      </c>
      <c r="F19" s="28" t="s">
        <v>50</v>
      </c>
      <c r="G19" s="23" t="s">
        <v>42</v>
      </c>
      <c r="H19" s="23" t="s">
        <v>43</v>
      </c>
      <c r="I19" s="28" t="s">
        <v>44</v>
      </c>
      <c r="J19" s="23" t="s">
        <v>51</v>
      </c>
      <c r="K19" s="25">
        <v>513870</v>
      </c>
      <c r="L19" s="25">
        <f>468500</f>
        <v>468500</v>
      </c>
      <c r="M19" s="25">
        <v>0</v>
      </c>
      <c r="N19" s="25">
        <v>0</v>
      </c>
      <c r="O19" s="25">
        <f t="shared" si="0"/>
        <v>982370</v>
      </c>
      <c r="P19" s="25">
        <v>954455.04000000004</v>
      </c>
      <c r="Q19" s="25">
        <v>954455.04000000004</v>
      </c>
      <c r="R19" s="25">
        <v>954455.04000000004</v>
      </c>
      <c r="S19" s="25"/>
      <c r="T19" s="25"/>
      <c r="U19" s="25"/>
      <c r="V19" s="25"/>
      <c r="W19" s="25"/>
      <c r="X19" s="26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</row>
    <row r="20" spans="1:252" s="7" customFormat="1" ht="36.75" customHeight="1" x14ac:dyDescent="0.2">
      <c r="A20" s="21" t="s">
        <v>36</v>
      </c>
      <c r="B20" s="28" t="s">
        <v>37</v>
      </c>
      <c r="C20" s="29" t="s">
        <v>47</v>
      </c>
      <c r="D20" s="29" t="s">
        <v>48</v>
      </c>
      <c r="E20" s="28" t="s">
        <v>49</v>
      </c>
      <c r="F20" s="28" t="s">
        <v>50</v>
      </c>
      <c r="G20" s="23" t="s">
        <v>42</v>
      </c>
      <c r="H20" s="29" t="s">
        <v>52</v>
      </c>
      <c r="I20" s="28" t="s">
        <v>53</v>
      </c>
      <c r="J20" s="23" t="s">
        <v>42</v>
      </c>
      <c r="K20" s="25">
        <v>950000</v>
      </c>
      <c r="L20" s="25">
        <f>87000</f>
        <v>87000</v>
      </c>
      <c r="M20" s="25">
        <v>0</v>
      </c>
      <c r="N20" s="25">
        <v>0</v>
      </c>
      <c r="O20" s="25">
        <f t="shared" si="0"/>
        <v>1037000</v>
      </c>
      <c r="P20" s="25">
        <v>704497.96</v>
      </c>
      <c r="Q20" s="25">
        <v>704497.96</v>
      </c>
      <c r="R20" s="25">
        <v>686491.34</v>
      </c>
      <c r="S20" s="25"/>
      <c r="T20" s="25"/>
      <c r="U20" s="25"/>
      <c r="V20" s="25"/>
      <c r="W20" s="25"/>
      <c r="X20" s="26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</row>
    <row r="21" spans="1:252" s="7" customFormat="1" ht="36.75" customHeight="1" x14ac:dyDescent="0.2">
      <c r="A21" s="21" t="s">
        <v>36</v>
      </c>
      <c r="B21" s="28" t="s">
        <v>37</v>
      </c>
      <c r="C21" s="29" t="s">
        <v>47</v>
      </c>
      <c r="D21" s="29" t="s">
        <v>48</v>
      </c>
      <c r="E21" s="28" t="s">
        <v>49</v>
      </c>
      <c r="F21" s="28" t="s">
        <v>50</v>
      </c>
      <c r="G21" s="23" t="s">
        <v>42</v>
      </c>
      <c r="H21" s="29" t="s">
        <v>52</v>
      </c>
      <c r="I21" s="28" t="s">
        <v>53</v>
      </c>
      <c r="J21" s="23" t="s">
        <v>51</v>
      </c>
      <c r="K21" s="30">
        <v>150000</v>
      </c>
      <c r="L21" s="25">
        <v>0</v>
      </c>
      <c r="M21" s="25">
        <v>0</v>
      </c>
      <c r="N21" s="25">
        <v>0</v>
      </c>
      <c r="O21" s="25">
        <f t="shared" si="0"/>
        <v>150000</v>
      </c>
      <c r="P21" s="25">
        <v>95801.3</v>
      </c>
      <c r="Q21" s="25">
        <v>95801.3</v>
      </c>
      <c r="R21" s="25">
        <v>95801.3</v>
      </c>
      <c r="S21" s="25"/>
      <c r="T21" s="25"/>
      <c r="U21" s="25"/>
      <c r="V21" s="25"/>
      <c r="W21" s="25"/>
      <c r="X21" s="26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</row>
    <row r="22" spans="1:252" s="7" customFormat="1" ht="36.75" customHeight="1" x14ac:dyDescent="0.2">
      <c r="A22" s="21" t="s">
        <v>36</v>
      </c>
      <c r="B22" s="28" t="s">
        <v>37</v>
      </c>
      <c r="C22" s="29" t="s">
        <v>47</v>
      </c>
      <c r="D22" s="29" t="s">
        <v>48</v>
      </c>
      <c r="E22" s="28" t="s">
        <v>49</v>
      </c>
      <c r="F22" s="28" t="s">
        <v>50</v>
      </c>
      <c r="G22" s="23" t="s">
        <v>42</v>
      </c>
      <c r="H22" s="29" t="s">
        <v>54</v>
      </c>
      <c r="I22" s="28" t="s">
        <v>55</v>
      </c>
      <c r="J22" s="23" t="s">
        <v>42</v>
      </c>
      <c r="K22" s="30">
        <v>0</v>
      </c>
      <c r="L22" s="25">
        <f>4061652-3536586.84</f>
        <v>525065.16000000015</v>
      </c>
      <c r="M22" s="25">
        <v>0</v>
      </c>
      <c r="N22" s="25">
        <v>0</v>
      </c>
      <c r="O22" s="25">
        <f t="shared" si="0"/>
        <v>525065.16000000015</v>
      </c>
      <c r="P22" s="25">
        <v>513508.75</v>
      </c>
      <c r="Q22" s="25">
        <v>513508.75</v>
      </c>
      <c r="R22" s="25">
        <v>269202.95</v>
      </c>
      <c r="S22" s="25"/>
      <c r="T22" s="25"/>
      <c r="U22" s="25"/>
      <c r="V22" s="25"/>
      <c r="W22" s="25"/>
      <c r="X22" s="26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</row>
    <row r="23" spans="1:252" s="7" customFormat="1" ht="36.75" customHeight="1" x14ac:dyDescent="0.2">
      <c r="A23" s="21" t="s">
        <v>36</v>
      </c>
      <c r="B23" s="28" t="s">
        <v>37</v>
      </c>
      <c r="C23" s="29" t="s">
        <v>47</v>
      </c>
      <c r="D23" s="29" t="s">
        <v>48</v>
      </c>
      <c r="E23" s="28" t="s">
        <v>49</v>
      </c>
      <c r="F23" s="28" t="s">
        <v>50</v>
      </c>
      <c r="G23" s="23" t="s">
        <v>42</v>
      </c>
      <c r="H23" s="29" t="s">
        <v>56</v>
      </c>
      <c r="I23" s="28" t="s">
        <v>57</v>
      </c>
      <c r="J23" s="23" t="s">
        <v>42</v>
      </c>
      <c r="K23" s="30">
        <v>0</v>
      </c>
      <c r="L23" s="25">
        <f>3507613</f>
        <v>3507613</v>
      </c>
      <c r="M23" s="25">
        <v>0</v>
      </c>
      <c r="N23" s="25">
        <v>0</v>
      </c>
      <c r="O23" s="25">
        <f t="shared" si="0"/>
        <v>3507613</v>
      </c>
      <c r="P23" s="25">
        <v>0</v>
      </c>
      <c r="Q23" s="25">
        <v>0</v>
      </c>
      <c r="R23" s="25">
        <v>0</v>
      </c>
      <c r="S23" s="25"/>
      <c r="T23" s="25"/>
      <c r="U23" s="25"/>
      <c r="V23" s="25"/>
      <c r="W23" s="25"/>
      <c r="X23" s="26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</row>
    <row r="24" spans="1:252" s="7" customFormat="1" ht="36.75" customHeight="1" x14ac:dyDescent="0.2">
      <c r="A24" s="21" t="s">
        <v>36</v>
      </c>
      <c r="B24" s="28" t="s">
        <v>37</v>
      </c>
      <c r="C24" s="29" t="s">
        <v>47</v>
      </c>
      <c r="D24" s="29" t="s">
        <v>58</v>
      </c>
      <c r="E24" s="28" t="s">
        <v>49</v>
      </c>
      <c r="F24" s="28" t="s">
        <v>59</v>
      </c>
      <c r="G24" s="29" t="s">
        <v>42</v>
      </c>
      <c r="H24" s="29" t="s">
        <v>43</v>
      </c>
      <c r="I24" s="28" t="s">
        <v>44</v>
      </c>
      <c r="J24" s="29" t="s">
        <v>42</v>
      </c>
      <c r="K24" s="30">
        <v>71991281</v>
      </c>
      <c r="L24" s="30">
        <f>505790-1470000</f>
        <v>-964210</v>
      </c>
      <c r="M24" s="30">
        <v>0</v>
      </c>
      <c r="N24" s="30">
        <v>0</v>
      </c>
      <c r="O24" s="25">
        <f t="shared" si="0"/>
        <v>71027071</v>
      </c>
      <c r="P24" s="30"/>
      <c r="Q24" s="30"/>
      <c r="R24" s="30"/>
      <c r="S24" s="30">
        <v>71027068.299999997</v>
      </c>
      <c r="T24" s="30">
        <v>71027068.299999997</v>
      </c>
      <c r="U24" s="30">
        <v>70479291.560000002</v>
      </c>
      <c r="V24" s="30"/>
      <c r="W24" s="30"/>
      <c r="X24" s="31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</row>
    <row r="25" spans="1:252" s="7" customFormat="1" ht="36.75" customHeight="1" x14ac:dyDescent="0.2">
      <c r="A25" s="21" t="s">
        <v>36</v>
      </c>
      <c r="B25" s="28" t="s">
        <v>37</v>
      </c>
      <c r="C25" s="29" t="s">
        <v>47</v>
      </c>
      <c r="D25" s="29" t="s">
        <v>58</v>
      </c>
      <c r="E25" s="28" t="s">
        <v>49</v>
      </c>
      <c r="F25" s="28" t="s">
        <v>59</v>
      </c>
      <c r="G25" s="29" t="s">
        <v>42</v>
      </c>
      <c r="H25" s="29" t="s">
        <v>43</v>
      </c>
      <c r="I25" s="28" t="s">
        <v>44</v>
      </c>
      <c r="J25" s="29" t="s">
        <v>51</v>
      </c>
      <c r="K25" s="30">
        <v>52000</v>
      </c>
      <c r="L25" s="30">
        <f>58000</f>
        <v>58000</v>
      </c>
      <c r="M25" s="30">
        <v>0</v>
      </c>
      <c r="N25" s="30">
        <v>0</v>
      </c>
      <c r="O25" s="25">
        <f t="shared" si="0"/>
        <v>110000</v>
      </c>
      <c r="P25" s="30"/>
      <c r="Q25" s="30"/>
      <c r="R25" s="30"/>
      <c r="S25" s="30">
        <v>16445.990000000002</v>
      </c>
      <c r="T25" s="30">
        <v>16445.990000000002</v>
      </c>
      <c r="U25" s="30">
        <v>16445.990000000002</v>
      </c>
      <c r="V25" s="30"/>
      <c r="W25" s="30"/>
      <c r="X25" s="31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</row>
    <row r="26" spans="1:252" s="7" customFormat="1" ht="36.75" customHeight="1" x14ac:dyDescent="0.2">
      <c r="A26" s="21" t="s">
        <v>36</v>
      </c>
      <c r="B26" s="28" t="s">
        <v>37</v>
      </c>
      <c r="C26" s="29" t="s">
        <v>47</v>
      </c>
      <c r="D26" s="29" t="s">
        <v>58</v>
      </c>
      <c r="E26" s="28" t="s">
        <v>49</v>
      </c>
      <c r="F26" s="28" t="s">
        <v>59</v>
      </c>
      <c r="G26" s="29" t="s">
        <v>42</v>
      </c>
      <c r="H26" s="29" t="s">
        <v>52</v>
      </c>
      <c r="I26" s="28" t="s">
        <v>53</v>
      </c>
      <c r="J26" s="29" t="s">
        <v>42</v>
      </c>
      <c r="K26" s="30">
        <v>400000</v>
      </c>
      <c r="L26" s="30">
        <f>-227000</f>
        <v>-227000</v>
      </c>
      <c r="M26" s="30">
        <v>0</v>
      </c>
      <c r="N26" s="30">
        <v>0</v>
      </c>
      <c r="O26" s="25">
        <f t="shared" si="0"/>
        <v>173000</v>
      </c>
      <c r="P26" s="30"/>
      <c r="Q26" s="30"/>
      <c r="R26" s="30"/>
      <c r="S26" s="30">
        <v>158446.39000000001</v>
      </c>
      <c r="T26" s="30">
        <v>158446.39000000001</v>
      </c>
      <c r="U26" s="30">
        <v>118267.63</v>
      </c>
      <c r="V26" s="30"/>
      <c r="W26" s="30"/>
      <c r="X26" s="31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</row>
    <row r="27" spans="1:252" s="7" customFormat="1" ht="36.75" customHeight="1" x14ac:dyDescent="0.2">
      <c r="A27" s="21" t="s">
        <v>36</v>
      </c>
      <c r="B27" s="28" t="s">
        <v>37</v>
      </c>
      <c r="C27" s="29" t="s">
        <v>47</v>
      </c>
      <c r="D27" s="29" t="s">
        <v>58</v>
      </c>
      <c r="E27" s="28" t="s">
        <v>49</v>
      </c>
      <c r="F27" s="28" t="s">
        <v>59</v>
      </c>
      <c r="G27" s="29" t="s">
        <v>42</v>
      </c>
      <c r="H27" s="29" t="s">
        <v>54</v>
      </c>
      <c r="I27" s="28" t="s">
        <v>55</v>
      </c>
      <c r="J27" s="29" t="s">
        <v>42</v>
      </c>
      <c r="K27" s="30">
        <v>0</v>
      </c>
      <c r="L27" s="30">
        <f>363728</f>
        <v>363728</v>
      </c>
      <c r="M27" s="30">
        <v>0</v>
      </c>
      <c r="N27" s="30">
        <v>0</v>
      </c>
      <c r="O27" s="25">
        <f t="shared" si="0"/>
        <v>363728</v>
      </c>
      <c r="P27" s="30"/>
      <c r="Q27" s="30"/>
      <c r="R27" s="30"/>
      <c r="S27" s="30">
        <v>115893.04</v>
      </c>
      <c r="T27" s="30">
        <v>115893.04</v>
      </c>
      <c r="U27" s="30">
        <v>21764.44</v>
      </c>
      <c r="V27" s="30"/>
      <c r="W27" s="30"/>
      <c r="X27" s="31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</row>
    <row r="28" spans="1:252" s="7" customFormat="1" ht="36.75" customHeight="1" x14ac:dyDescent="0.2">
      <c r="A28" s="21" t="s">
        <v>36</v>
      </c>
      <c r="B28" s="28" t="s">
        <v>37</v>
      </c>
      <c r="C28" s="29" t="s">
        <v>47</v>
      </c>
      <c r="D28" s="29" t="s">
        <v>60</v>
      </c>
      <c r="E28" s="28" t="s">
        <v>49</v>
      </c>
      <c r="F28" s="28" t="s">
        <v>61</v>
      </c>
      <c r="G28" s="29" t="s">
        <v>42</v>
      </c>
      <c r="H28" s="29" t="s">
        <v>43</v>
      </c>
      <c r="I28" s="28" t="s">
        <v>44</v>
      </c>
      <c r="J28" s="29" t="s">
        <v>42</v>
      </c>
      <c r="K28" s="30">
        <v>157829549</v>
      </c>
      <c r="L28" s="30">
        <f>1562809-5376000</f>
        <v>-3813191</v>
      </c>
      <c r="M28" s="30">
        <v>0</v>
      </c>
      <c r="N28" s="30">
        <f>-811716.04</f>
        <v>-811716.04</v>
      </c>
      <c r="O28" s="25">
        <f t="shared" si="0"/>
        <v>153204641.96000001</v>
      </c>
      <c r="P28" s="30"/>
      <c r="Q28" s="30"/>
      <c r="R28" s="30"/>
      <c r="S28" s="30"/>
      <c r="T28" s="30"/>
      <c r="U28" s="30"/>
      <c r="V28" s="30">
        <v>152158631.50999999</v>
      </c>
      <c r="W28" s="30">
        <v>152158631.50999999</v>
      </c>
      <c r="X28" s="31">
        <v>151029467.19999999</v>
      </c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</row>
    <row r="29" spans="1:252" s="7" customFormat="1" ht="36.75" customHeight="1" x14ac:dyDescent="0.2">
      <c r="A29" s="21" t="s">
        <v>36</v>
      </c>
      <c r="B29" s="28" t="s">
        <v>37</v>
      </c>
      <c r="C29" s="29" t="s">
        <v>47</v>
      </c>
      <c r="D29" s="29" t="s">
        <v>60</v>
      </c>
      <c r="E29" s="28" t="s">
        <v>49</v>
      </c>
      <c r="F29" s="28" t="s">
        <v>61</v>
      </c>
      <c r="G29" s="29" t="s">
        <v>42</v>
      </c>
      <c r="H29" s="29" t="s">
        <v>43</v>
      </c>
      <c r="I29" s="28" t="s">
        <v>44</v>
      </c>
      <c r="J29" s="29" t="s">
        <v>51</v>
      </c>
      <c r="K29" s="30">
        <v>150000</v>
      </c>
      <c r="L29" s="30">
        <f>140000</f>
        <v>140000</v>
      </c>
      <c r="M29" s="30">
        <v>0</v>
      </c>
      <c r="N29" s="30">
        <v>0</v>
      </c>
      <c r="O29" s="25">
        <f t="shared" si="0"/>
        <v>290000</v>
      </c>
      <c r="P29" s="30"/>
      <c r="Q29" s="30"/>
      <c r="R29" s="30"/>
      <c r="S29" s="30"/>
      <c r="T29" s="30"/>
      <c r="U29" s="30"/>
      <c r="V29" s="30">
        <v>223864.31</v>
      </c>
      <c r="W29" s="30">
        <v>223864.31</v>
      </c>
      <c r="X29" s="31">
        <v>223864.31</v>
      </c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</row>
    <row r="30" spans="1:252" s="7" customFormat="1" ht="36.75" customHeight="1" x14ac:dyDescent="0.2">
      <c r="A30" s="21" t="s">
        <v>36</v>
      </c>
      <c r="B30" s="28" t="s">
        <v>37</v>
      </c>
      <c r="C30" s="29" t="s">
        <v>47</v>
      </c>
      <c r="D30" s="29" t="s">
        <v>60</v>
      </c>
      <c r="E30" s="28" t="s">
        <v>49</v>
      </c>
      <c r="F30" s="28" t="s">
        <v>61</v>
      </c>
      <c r="G30" s="29" t="s">
        <v>42</v>
      </c>
      <c r="H30" s="29" t="s">
        <v>52</v>
      </c>
      <c r="I30" s="28" t="s">
        <v>53</v>
      </c>
      <c r="J30" s="29" t="s">
        <v>42</v>
      </c>
      <c r="K30" s="30">
        <v>1704000</v>
      </c>
      <c r="L30" s="30">
        <f>140000</f>
        <v>140000</v>
      </c>
      <c r="M30" s="30">
        <v>0</v>
      </c>
      <c r="N30" s="30">
        <v>0</v>
      </c>
      <c r="O30" s="25">
        <f t="shared" si="0"/>
        <v>1844000</v>
      </c>
      <c r="P30" s="30"/>
      <c r="Q30" s="30"/>
      <c r="R30" s="30"/>
      <c r="S30" s="30"/>
      <c r="T30" s="30"/>
      <c r="U30" s="30"/>
      <c r="V30" s="30">
        <v>1839399.36</v>
      </c>
      <c r="W30" s="30">
        <v>1839399.36</v>
      </c>
      <c r="X30" s="31">
        <v>1839399.36</v>
      </c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</row>
    <row r="31" spans="1:252" s="27" customFormat="1" ht="36.75" customHeight="1" x14ac:dyDescent="0.2">
      <c r="A31" s="21" t="s">
        <v>36</v>
      </c>
      <c r="B31" s="28" t="s">
        <v>37</v>
      </c>
      <c r="C31" s="29" t="s">
        <v>47</v>
      </c>
      <c r="D31" s="29" t="s">
        <v>60</v>
      </c>
      <c r="E31" s="28" t="s">
        <v>49</v>
      </c>
      <c r="F31" s="28" t="s">
        <v>61</v>
      </c>
      <c r="G31" s="29" t="s">
        <v>42</v>
      </c>
      <c r="H31" s="29" t="s">
        <v>54</v>
      </c>
      <c r="I31" s="28" t="s">
        <v>55</v>
      </c>
      <c r="J31" s="29" t="s">
        <v>42</v>
      </c>
      <c r="K31" s="30">
        <v>0</v>
      </c>
      <c r="L31" s="30">
        <f>80005</f>
        <v>80005</v>
      </c>
      <c r="M31" s="30">
        <v>0</v>
      </c>
      <c r="N31" s="30">
        <v>0</v>
      </c>
      <c r="O31" s="25">
        <f t="shared" si="0"/>
        <v>80005</v>
      </c>
      <c r="P31" s="30"/>
      <c r="Q31" s="30"/>
      <c r="R31" s="30"/>
      <c r="S31" s="30"/>
      <c r="T31" s="30"/>
      <c r="U31" s="30"/>
      <c r="V31" s="30">
        <v>47531.14</v>
      </c>
      <c r="W31" s="30">
        <v>47531.14</v>
      </c>
      <c r="X31" s="31">
        <v>47531.14</v>
      </c>
    </row>
    <row r="32" spans="1:252" s="27" customFormat="1" ht="36.75" customHeight="1" x14ac:dyDescent="0.2">
      <c r="A32" s="21" t="s">
        <v>36</v>
      </c>
      <c r="B32" s="28" t="s">
        <v>37</v>
      </c>
      <c r="C32" s="29" t="s">
        <v>47</v>
      </c>
      <c r="D32" s="29" t="s">
        <v>60</v>
      </c>
      <c r="E32" s="28" t="s">
        <v>49</v>
      </c>
      <c r="F32" s="28" t="s">
        <v>61</v>
      </c>
      <c r="G32" s="29" t="s">
        <v>42</v>
      </c>
      <c r="H32" s="29" t="s">
        <v>56</v>
      </c>
      <c r="I32" s="28" t="s">
        <v>57</v>
      </c>
      <c r="J32" s="29" t="s">
        <v>42</v>
      </c>
      <c r="K32" s="30">
        <v>0</v>
      </c>
      <c r="L32" s="30">
        <f>560000</f>
        <v>560000</v>
      </c>
      <c r="M32" s="30">
        <v>0</v>
      </c>
      <c r="N32" s="30">
        <v>0</v>
      </c>
      <c r="O32" s="25">
        <f t="shared" si="0"/>
        <v>560000</v>
      </c>
      <c r="P32" s="30"/>
      <c r="Q32" s="30"/>
      <c r="R32" s="30"/>
      <c r="S32" s="30"/>
      <c r="T32" s="30"/>
      <c r="U32" s="30"/>
      <c r="V32" s="30">
        <v>259196.45</v>
      </c>
      <c r="W32" s="30">
        <v>259196.45</v>
      </c>
      <c r="X32" s="31">
        <v>259196.45</v>
      </c>
    </row>
    <row r="33" spans="1:24" s="27" customFormat="1" ht="36.75" customHeight="1" x14ac:dyDescent="0.2">
      <c r="A33" s="21" t="s">
        <v>36</v>
      </c>
      <c r="B33" s="28" t="s">
        <v>37</v>
      </c>
      <c r="C33" s="29" t="s">
        <v>47</v>
      </c>
      <c r="D33" s="29" t="s">
        <v>62</v>
      </c>
      <c r="E33" s="28" t="s">
        <v>49</v>
      </c>
      <c r="F33" s="28" t="s">
        <v>63</v>
      </c>
      <c r="G33" s="29" t="s">
        <v>42</v>
      </c>
      <c r="H33" s="29" t="s">
        <v>43</v>
      </c>
      <c r="I33" s="28" t="s">
        <v>44</v>
      </c>
      <c r="J33" s="29" t="s">
        <v>42</v>
      </c>
      <c r="K33" s="30">
        <v>158376022</v>
      </c>
      <c r="L33" s="30">
        <f>21173119-323000</f>
        <v>20850119</v>
      </c>
      <c r="M33" s="30">
        <v>0</v>
      </c>
      <c r="N33" s="30">
        <v>0</v>
      </c>
      <c r="O33" s="25">
        <f t="shared" si="0"/>
        <v>179226141</v>
      </c>
      <c r="P33" s="30">
        <v>178967149.27000001</v>
      </c>
      <c r="Q33" s="30">
        <v>178967149.27000001</v>
      </c>
      <c r="R33" s="30">
        <v>176996315.58000001</v>
      </c>
      <c r="S33" s="30"/>
      <c r="T33" s="30"/>
      <c r="U33" s="30"/>
      <c r="V33" s="30"/>
      <c r="W33" s="30"/>
      <c r="X33" s="31"/>
    </row>
    <row r="34" spans="1:24" s="27" customFormat="1" ht="36.75" customHeight="1" x14ac:dyDescent="0.2">
      <c r="A34" s="21" t="s">
        <v>36</v>
      </c>
      <c r="B34" s="28" t="s">
        <v>37</v>
      </c>
      <c r="C34" s="29" t="s">
        <v>47</v>
      </c>
      <c r="D34" s="29" t="s">
        <v>62</v>
      </c>
      <c r="E34" s="28" t="s">
        <v>49</v>
      </c>
      <c r="F34" s="28" t="s">
        <v>63</v>
      </c>
      <c r="G34" s="29" t="s">
        <v>42</v>
      </c>
      <c r="H34" s="29" t="s">
        <v>43</v>
      </c>
      <c r="I34" s="28" t="s">
        <v>44</v>
      </c>
      <c r="J34" s="29" t="s">
        <v>51</v>
      </c>
      <c r="K34" s="30">
        <v>250000</v>
      </c>
      <c r="L34" s="30">
        <f>155792-150000</f>
        <v>5792</v>
      </c>
      <c r="M34" s="30">
        <v>0</v>
      </c>
      <c r="N34" s="30">
        <v>0</v>
      </c>
      <c r="O34" s="25">
        <f t="shared" si="0"/>
        <v>255792</v>
      </c>
      <c r="P34" s="30">
        <v>3512.81</v>
      </c>
      <c r="Q34" s="30">
        <v>3512.81</v>
      </c>
      <c r="R34" s="30">
        <v>3512.81</v>
      </c>
      <c r="S34" s="30"/>
      <c r="T34" s="30"/>
      <c r="U34" s="30"/>
      <c r="V34" s="30"/>
      <c r="W34" s="30"/>
      <c r="X34" s="31"/>
    </row>
    <row r="35" spans="1:24" s="27" customFormat="1" ht="36.75" customHeight="1" x14ac:dyDescent="0.2">
      <c r="A35" s="21" t="s">
        <v>36</v>
      </c>
      <c r="B35" s="28" t="s">
        <v>37</v>
      </c>
      <c r="C35" s="29" t="s">
        <v>47</v>
      </c>
      <c r="D35" s="29" t="s">
        <v>62</v>
      </c>
      <c r="E35" s="28" t="s">
        <v>49</v>
      </c>
      <c r="F35" s="28" t="s">
        <v>63</v>
      </c>
      <c r="G35" s="29" t="s">
        <v>42</v>
      </c>
      <c r="H35" s="29" t="s">
        <v>52</v>
      </c>
      <c r="I35" s="28" t="s">
        <v>53</v>
      </c>
      <c r="J35" s="29" t="s">
        <v>42</v>
      </c>
      <c r="K35" s="30">
        <v>1200000</v>
      </c>
      <c r="L35" s="30">
        <v>0</v>
      </c>
      <c r="M35" s="30">
        <v>0</v>
      </c>
      <c r="N35" s="30">
        <v>0</v>
      </c>
      <c r="O35" s="25">
        <f t="shared" si="0"/>
        <v>1200000</v>
      </c>
      <c r="P35" s="30">
        <v>364914.79</v>
      </c>
      <c r="Q35" s="30">
        <v>364914.79</v>
      </c>
      <c r="R35" s="30">
        <v>230161.72</v>
      </c>
      <c r="S35" s="30"/>
      <c r="T35" s="30"/>
      <c r="U35" s="30"/>
      <c r="V35" s="30"/>
      <c r="W35" s="30"/>
      <c r="X35" s="31"/>
    </row>
    <row r="36" spans="1:24" s="27" customFormat="1" ht="36.75" customHeight="1" x14ac:dyDescent="0.2">
      <c r="A36" s="21" t="s">
        <v>36</v>
      </c>
      <c r="B36" s="28" t="s">
        <v>37</v>
      </c>
      <c r="C36" s="29" t="s">
        <v>47</v>
      </c>
      <c r="D36" s="29" t="s">
        <v>62</v>
      </c>
      <c r="E36" s="28" t="s">
        <v>49</v>
      </c>
      <c r="F36" s="28" t="s">
        <v>63</v>
      </c>
      <c r="G36" s="29" t="s">
        <v>42</v>
      </c>
      <c r="H36" s="29" t="s">
        <v>54</v>
      </c>
      <c r="I36" s="28" t="s">
        <v>55</v>
      </c>
      <c r="J36" s="29" t="s">
        <v>42</v>
      </c>
      <c r="K36" s="30">
        <v>0</v>
      </c>
      <c r="L36" s="30">
        <f>4255948.93</f>
        <v>4255948.93</v>
      </c>
      <c r="M36" s="30">
        <v>0</v>
      </c>
      <c r="N36" s="30">
        <v>0</v>
      </c>
      <c r="O36" s="25">
        <f t="shared" si="0"/>
        <v>4255948.93</v>
      </c>
      <c r="P36" s="30">
        <v>2017537.72</v>
      </c>
      <c r="Q36" s="30">
        <v>2017537.72</v>
      </c>
      <c r="R36" s="30">
        <v>2017537.72</v>
      </c>
      <c r="S36" s="30"/>
      <c r="T36" s="30"/>
      <c r="U36" s="30"/>
      <c r="V36" s="30"/>
      <c r="W36" s="30"/>
      <c r="X36" s="31"/>
    </row>
    <row r="37" spans="1:24" s="27" customFormat="1" ht="36.75" customHeight="1" x14ac:dyDescent="0.2">
      <c r="A37" s="21" t="s">
        <v>36</v>
      </c>
      <c r="B37" s="28" t="s">
        <v>37</v>
      </c>
      <c r="C37" s="29" t="s">
        <v>47</v>
      </c>
      <c r="D37" s="29" t="s">
        <v>62</v>
      </c>
      <c r="E37" s="28" t="s">
        <v>49</v>
      </c>
      <c r="F37" s="28" t="s">
        <v>63</v>
      </c>
      <c r="G37" s="29" t="s">
        <v>42</v>
      </c>
      <c r="H37" s="29" t="s">
        <v>54</v>
      </c>
      <c r="I37" s="28" t="s">
        <v>55</v>
      </c>
      <c r="J37" s="29" t="s">
        <v>51</v>
      </c>
      <c r="K37" s="30">
        <v>0</v>
      </c>
      <c r="L37" s="30">
        <f>186792</f>
        <v>186792</v>
      </c>
      <c r="M37" s="30">
        <v>0</v>
      </c>
      <c r="N37" s="30">
        <v>0</v>
      </c>
      <c r="O37" s="25">
        <f t="shared" si="0"/>
        <v>186792</v>
      </c>
      <c r="P37" s="30">
        <v>30869.279999999999</v>
      </c>
      <c r="Q37" s="30">
        <v>30869.279999999999</v>
      </c>
      <c r="R37" s="30">
        <v>30869.279999999999</v>
      </c>
      <c r="S37" s="30"/>
      <c r="T37" s="30"/>
      <c r="U37" s="30"/>
      <c r="V37" s="30"/>
      <c r="W37" s="30"/>
      <c r="X37" s="31"/>
    </row>
    <row r="38" spans="1:24" s="27" customFormat="1" ht="36.75" customHeight="1" x14ac:dyDescent="0.2">
      <c r="A38" s="21" t="s">
        <v>36</v>
      </c>
      <c r="B38" s="28" t="s">
        <v>37</v>
      </c>
      <c r="C38" s="29" t="s">
        <v>47</v>
      </c>
      <c r="D38" s="29" t="s">
        <v>64</v>
      </c>
      <c r="E38" s="28" t="s">
        <v>49</v>
      </c>
      <c r="F38" s="28" t="s">
        <v>65</v>
      </c>
      <c r="G38" s="29" t="s">
        <v>42</v>
      </c>
      <c r="H38" s="29" t="s">
        <v>43</v>
      </c>
      <c r="I38" s="28" t="s">
        <v>44</v>
      </c>
      <c r="J38" s="29" t="s">
        <v>42</v>
      </c>
      <c r="K38" s="30">
        <v>15805624</v>
      </c>
      <c r="L38" s="30">
        <f>4597976</f>
        <v>4597976</v>
      </c>
      <c r="M38" s="30">
        <v>0</v>
      </c>
      <c r="N38" s="30">
        <v>0</v>
      </c>
      <c r="O38" s="25">
        <f t="shared" si="0"/>
        <v>20403600</v>
      </c>
      <c r="P38" s="30"/>
      <c r="Q38" s="30"/>
      <c r="R38" s="30"/>
      <c r="S38" s="30">
        <v>20070404.489999998</v>
      </c>
      <c r="T38" s="30">
        <v>20070404.489999998</v>
      </c>
      <c r="U38" s="30">
        <v>19820972.969999999</v>
      </c>
      <c r="V38" s="30"/>
      <c r="W38" s="30"/>
      <c r="X38" s="31"/>
    </row>
    <row r="39" spans="1:24" s="27" customFormat="1" ht="36.75" customHeight="1" x14ac:dyDescent="0.2">
      <c r="A39" s="21" t="s">
        <v>36</v>
      </c>
      <c r="B39" s="28" t="s">
        <v>37</v>
      </c>
      <c r="C39" s="29" t="s">
        <v>47</v>
      </c>
      <c r="D39" s="29" t="s">
        <v>64</v>
      </c>
      <c r="E39" s="28" t="s">
        <v>49</v>
      </c>
      <c r="F39" s="28" t="s">
        <v>65</v>
      </c>
      <c r="G39" s="29" t="s">
        <v>42</v>
      </c>
      <c r="H39" s="29" t="s">
        <v>43</v>
      </c>
      <c r="I39" s="28" t="s">
        <v>44</v>
      </c>
      <c r="J39" s="29" t="s">
        <v>51</v>
      </c>
      <c r="K39" s="30">
        <v>50000</v>
      </c>
      <c r="L39" s="30">
        <f>155557</f>
        <v>155557</v>
      </c>
      <c r="M39" s="30">
        <v>0</v>
      </c>
      <c r="N39" s="30">
        <v>0</v>
      </c>
      <c r="O39" s="25">
        <f t="shared" si="0"/>
        <v>205557</v>
      </c>
      <c r="P39" s="30"/>
      <c r="Q39" s="30"/>
      <c r="R39" s="30"/>
      <c r="S39" s="30">
        <v>56148.52</v>
      </c>
      <c r="T39" s="30">
        <v>56148.52</v>
      </c>
      <c r="U39" s="30">
        <v>56148.52</v>
      </c>
      <c r="V39" s="30"/>
      <c r="W39" s="30"/>
      <c r="X39" s="31"/>
    </row>
    <row r="40" spans="1:24" s="27" customFormat="1" ht="36.75" customHeight="1" x14ac:dyDescent="0.2">
      <c r="A40" s="21" t="s">
        <v>36</v>
      </c>
      <c r="B40" s="28" t="s">
        <v>37</v>
      </c>
      <c r="C40" s="29" t="s">
        <v>47</v>
      </c>
      <c r="D40" s="29" t="s">
        <v>64</v>
      </c>
      <c r="E40" s="28" t="s">
        <v>49</v>
      </c>
      <c r="F40" s="28" t="s">
        <v>65</v>
      </c>
      <c r="G40" s="29" t="s">
        <v>42</v>
      </c>
      <c r="H40" s="29" t="s">
        <v>54</v>
      </c>
      <c r="I40" s="28" t="s">
        <v>55</v>
      </c>
      <c r="J40" s="23" t="s">
        <v>42</v>
      </c>
      <c r="K40" s="25">
        <v>0</v>
      </c>
      <c r="L40" s="25">
        <f>660308.91</f>
        <v>660308.91</v>
      </c>
      <c r="M40" s="30">
        <v>0</v>
      </c>
      <c r="N40" s="30">
        <v>0</v>
      </c>
      <c r="O40" s="25">
        <f t="shared" si="0"/>
        <v>660308.91</v>
      </c>
      <c r="P40" s="25"/>
      <c r="Q40" s="25"/>
      <c r="R40" s="25"/>
      <c r="S40" s="25">
        <v>376719.52</v>
      </c>
      <c r="T40" s="25">
        <v>376719.52</v>
      </c>
      <c r="U40" s="25">
        <v>376719.52</v>
      </c>
      <c r="V40" s="25"/>
      <c r="W40" s="25"/>
      <c r="X40" s="26"/>
    </row>
    <row r="41" spans="1:24" s="27" customFormat="1" ht="36.75" customHeight="1" x14ac:dyDescent="0.2">
      <c r="A41" s="21" t="s">
        <v>36</v>
      </c>
      <c r="B41" s="28" t="s">
        <v>37</v>
      </c>
      <c r="C41" s="29" t="s">
        <v>47</v>
      </c>
      <c r="D41" s="29" t="s">
        <v>64</v>
      </c>
      <c r="E41" s="28" t="s">
        <v>49</v>
      </c>
      <c r="F41" s="28" t="s">
        <v>65</v>
      </c>
      <c r="G41" s="29" t="s">
        <v>42</v>
      </c>
      <c r="H41" s="29" t="s">
        <v>54</v>
      </c>
      <c r="I41" s="28" t="s">
        <v>55</v>
      </c>
      <c r="J41" s="23" t="s">
        <v>51</v>
      </c>
      <c r="K41" s="25">
        <v>0</v>
      </c>
      <c r="L41" s="25">
        <f>109198</f>
        <v>109198</v>
      </c>
      <c r="M41" s="30">
        <v>0</v>
      </c>
      <c r="N41" s="30">
        <v>0</v>
      </c>
      <c r="O41" s="25">
        <f t="shared" si="0"/>
        <v>109198</v>
      </c>
      <c r="P41" s="25"/>
      <c r="Q41" s="25"/>
      <c r="R41" s="25"/>
      <c r="S41" s="25">
        <v>23641.48</v>
      </c>
      <c r="T41" s="25">
        <v>23641.48</v>
      </c>
      <c r="U41" s="25">
        <v>23641.48</v>
      </c>
      <c r="V41" s="25"/>
      <c r="W41" s="25"/>
      <c r="X41" s="26"/>
    </row>
    <row r="42" spans="1:24" s="27" customFormat="1" ht="36.75" customHeight="1" x14ac:dyDescent="0.2">
      <c r="A42" s="21" t="s">
        <v>36</v>
      </c>
      <c r="B42" s="28" t="s">
        <v>37</v>
      </c>
      <c r="C42" s="23" t="s">
        <v>47</v>
      </c>
      <c r="D42" s="23" t="s">
        <v>66</v>
      </c>
      <c r="E42" s="32" t="s">
        <v>49</v>
      </c>
      <c r="F42" s="32" t="s">
        <v>67</v>
      </c>
      <c r="G42" s="23" t="s">
        <v>42</v>
      </c>
      <c r="H42" s="23" t="s">
        <v>43</v>
      </c>
      <c r="I42" s="32" t="s">
        <v>44</v>
      </c>
      <c r="J42" s="23" t="s">
        <v>42</v>
      </c>
      <c r="K42" s="25">
        <v>3935197</v>
      </c>
      <c r="L42" s="25">
        <f>-1498930</f>
        <v>-1498930</v>
      </c>
      <c r="M42" s="25">
        <v>0</v>
      </c>
      <c r="N42" s="25">
        <v>0</v>
      </c>
      <c r="O42" s="25">
        <f t="shared" si="0"/>
        <v>2436267</v>
      </c>
      <c r="P42" s="25">
        <v>2370759.09</v>
      </c>
      <c r="Q42" s="25">
        <v>2370759.09</v>
      </c>
      <c r="R42" s="25">
        <v>2370759.09</v>
      </c>
      <c r="S42" s="25"/>
      <c r="T42" s="25"/>
      <c r="U42" s="25"/>
      <c r="V42" s="25"/>
      <c r="W42" s="25"/>
      <c r="X42" s="26"/>
    </row>
    <row r="43" spans="1:24" s="27" customFormat="1" ht="36.75" customHeight="1" x14ac:dyDescent="0.2">
      <c r="A43" s="21" t="s">
        <v>36</v>
      </c>
      <c r="B43" s="28" t="s">
        <v>37</v>
      </c>
      <c r="C43" s="29" t="s">
        <v>47</v>
      </c>
      <c r="D43" s="29" t="s">
        <v>66</v>
      </c>
      <c r="E43" s="33" t="s">
        <v>49</v>
      </c>
      <c r="F43" s="33" t="s">
        <v>67</v>
      </c>
      <c r="G43" s="29" t="s">
        <v>42</v>
      </c>
      <c r="H43" s="29" t="s">
        <v>43</v>
      </c>
      <c r="I43" s="33" t="s">
        <v>44</v>
      </c>
      <c r="J43" s="29" t="s">
        <v>51</v>
      </c>
      <c r="K43" s="30">
        <v>16500</v>
      </c>
      <c r="L43" s="30">
        <v>0</v>
      </c>
      <c r="M43" s="30">
        <v>0</v>
      </c>
      <c r="N43" s="30">
        <v>0</v>
      </c>
      <c r="O43" s="25">
        <f t="shared" si="0"/>
        <v>16500</v>
      </c>
      <c r="P43" s="30">
        <v>0</v>
      </c>
      <c r="Q43" s="30">
        <v>0</v>
      </c>
      <c r="R43" s="30">
        <v>0</v>
      </c>
      <c r="S43" s="30"/>
      <c r="T43" s="30"/>
      <c r="U43" s="30"/>
      <c r="V43" s="30"/>
      <c r="W43" s="30"/>
      <c r="X43" s="31"/>
    </row>
    <row r="44" spans="1:24" s="27" customFormat="1" ht="36.75" customHeight="1" x14ac:dyDescent="0.2">
      <c r="A44" s="21" t="s">
        <v>36</v>
      </c>
      <c r="B44" s="28" t="s">
        <v>37</v>
      </c>
      <c r="C44" s="29" t="s">
        <v>47</v>
      </c>
      <c r="D44" s="29" t="s">
        <v>68</v>
      </c>
      <c r="E44" s="28" t="s">
        <v>49</v>
      </c>
      <c r="F44" s="34" t="s">
        <v>69</v>
      </c>
      <c r="G44" s="29" t="s">
        <v>42</v>
      </c>
      <c r="H44" s="29" t="s">
        <v>43</v>
      </c>
      <c r="I44" s="28" t="s">
        <v>44</v>
      </c>
      <c r="J44" s="29" t="s">
        <v>42</v>
      </c>
      <c r="K44" s="30">
        <v>15234245</v>
      </c>
      <c r="L44" s="30">
        <f>2638329</f>
        <v>2638329</v>
      </c>
      <c r="M44" s="30">
        <v>0</v>
      </c>
      <c r="N44" s="30">
        <v>0</v>
      </c>
      <c r="O44" s="25">
        <f t="shared" si="0"/>
        <v>17872574</v>
      </c>
      <c r="P44" s="30"/>
      <c r="Q44" s="30"/>
      <c r="R44" s="30"/>
      <c r="S44" s="30"/>
      <c r="T44" s="30"/>
      <c r="U44" s="30"/>
      <c r="V44" s="30">
        <v>17746138.25</v>
      </c>
      <c r="W44" s="30">
        <v>17746138.25</v>
      </c>
      <c r="X44" s="31">
        <v>16272069.91</v>
      </c>
    </row>
    <row r="45" spans="1:24" s="27" customFormat="1" ht="36.75" customHeight="1" x14ac:dyDescent="0.2">
      <c r="A45" s="21" t="s">
        <v>36</v>
      </c>
      <c r="B45" s="28" t="s">
        <v>37</v>
      </c>
      <c r="C45" s="29" t="s">
        <v>47</v>
      </c>
      <c r="D45" s="29" t="s">
        <v>68</v>
      </c>
      <c r="E45" s="28" t="s">
        <v>49</v>
      </c>
      <c r="F45" s="34" t="s">
        <v>69</v>
      </c>
      <c r="G45" s="29" t="s">
        <v>42</v>
      </c>
      <c r="H45" s="29" t="s">
        <v>54</v>
      </c>
      <c r="I45" s="28" t="s">
        <v>55</v>
      </c>
      <c r="J45" s="29" t="s">
        <v>42</v>
      </c>
      <c r="K45" s="30">
        <v>0</v>
      </c>
      <c r="L45" s="30">
        <f>2122671</f>
        <v>2122671</v>
      </c>
      <c r="M45" s="30">
        <v>0</v>
      </c>
      <c r="N45" s="30">
        <v>0</v>
      </c>
      <c r="O45" s="25">
        <f t="shared" si="0"/>
        <v>2122671</v>
      </c>
      <c r="P45" s="30"/>
      <c r="Q45" s="30"/>
      <c r="R45" s="30"/>
      <c r="S45" s="30"/>
      <c r="T45" s="30"/>
      <c r="U45" s="30"/>
      <c r="V45" s="30">
        <v>664148.61</v>
      </c>
      <c r="W45" s="30">
        <v>664148.61</v>
      </c>
      <c r="X45" s="31">
        <v>664148.61</v>
      </c>
    </row>
    <row r="46" spans="1:24" s="27" customFormat="1" ht="36.75" customHeight="1" x14ac:dyDescent="0.2">
      <c r="A46" s="21" t="s">
        <v>36</v>
      </c>
      <c r="B46" s="28" t="s">
        <v>37</v>
      </c>
      <c r="C46" s="29" t="s">
        <v>47</v>
      </c>
      <c r="D46" s="29" t="s">
        <v>68</v>
      </c>
      <c r="E46" s="28" t="s">
        <v>49</v>
      </c>
      <c r="F46" s="28" t="s">
        <v>69</v>
      </c>
      <c r="G46" s="29" t="s">
        <v>42</v>
      </c>
      <c r="H46" s="29" t="s">
        <v>56</v>
      </c>
      <c r="I46" s="28" t="s">
        <v>57</v>
      </c>
      <c r="J46" s="29" t="s">
        <v>42</v>
      </c>
      <c r="K46" s="30">
        <v>0</v>
      </c>
      <c r="L46" s="30">
        <f>1038329</f>
        <v>1038329</v>
      </c>
      <c r="M46" s="30">
        <v>0</v>
      </c>
      <c r="N46" s="30">
        <v>0</v>
      </c>
      <c r="O46" s="25">
        <f t="shared" si="0"/>
        <v>1038329</v>
      </c>
      <c r="P46" s="30"/>
      <c r="Q46" s="30"/>
      <c r="R46" s="30"/>
      <c r="S46" s="30"/>
      <c r="T46" s="30"/>
      <c r="U46" s="30"/>
      <c r="V46" s="30">
        <v>0</v>
      </c>
      <c r="W46" s="30">
        <v>0</v>
      </c>
      <c r="X46" s="31">
        <v>0</v>
      </c>
    </row>
    <row r="47" spans="1:24" s="27" customFormat="1" ht="36.75" customHeight="1" x14ac:dyDescent="0.2">
      <c r="A47" s="21" t="s">
        <v>36</v>
      </c>
      <c r="B47" s="22" t="s">
        <v>37</v>
      </c>
      <c r="C47" s="23" t="s">
        <v>70</v>
      </c>
      <c r="D47" s="23" t="s">
        <v>71</v>
      </c>
      <c r="E47" s="22" t="s">
        <v>49</v>
      </c>
      <c r="F47" s="24" t="s">
        <v>72</v>
      </c>
      <c r="G47" s="23" t="s">
        <v>42</v>
      </c>
      <c r="H47" s="23" t="s">
        <v>43</v>
      </c>
      <c r="I47" s="28" t="s">
        <v>44</v>
      </c>
      <c r="J47" s="23" t="s">
        <v>51</v>
      </c>
      <c r="K47" s="25">
        <v>3097696</v>
      </c>
      <c r="L47" s="25">
        <f>824500-1040000</f>
        <v>-215500</v>
      </c>
      <c r="M47" s="25">
        <v>0</v>
      </c>
      <c r="N47" s="25">
        <v>0</v>
      </c>
      <c r="O47" s="25">
        <f t="shared" si="0"/>
        <v>2882196</v>
      </c>
      <c r="P47" s="25">
        <v>2875947.15</v>
      </c>
      <c r="Q47" s="25">
        <v>2875947.15</v>
      </c>
      <c r="R47" s="25">
        <v>2875947.14</v>
      </c>
      <c r="S47" s="25"/>
      <c r="T47" s="25"/>
      <c r="U47" s="25"/>
      <c r="V47" s="25"/>
      <c r="W47" s="25"/>
      <c r="X47" s="26"/>
    </row>
    <row r="48" spans="1:24" s="27" customFormat="1" ht="36.75" customHeight="1" x14ac:dyDescent="0.2">
      <c r="A48" s="21" t="s">
        <v>36</v>
      </c>
      <c r="B48" s="28" t="s">
        <v>37</v>
      </c>
      <c r="C48" s="29" t="s">
        <v>70</v>
      </c>
      <c r="D48" s="29" t="s">
        <v>73</v>
      </c>
      <c r="E48" s="28" t="s">
        <v>49</v>
      </c>
      <c r="F48" s="28" t="s">
        <v>74</v>
      </c>
      <c r="G48" s="29" t="s">
        <v>42</v>
      </c>
      <c r="H48" s="29" t="s">
        <v>43</v>
      </c>
      <c r="I48" s="28" t="s">
        <v>44</v>
      </c>
      <c r="J48" s="29" t="s">
        <v>51</v>
      </c>
      <c r="K48" s="30">
        <v>150000</v>
      </c>
      <c r="L48" s="30">
        <f>106121</f>
        <v>106121</v>
      </c>
      <c r="M48" s="25">
        <v>0</v>
      </c>
      <c r="N48" s="25">
        <v>0</v>
      </c>
      <c r="O48" s="25">
        <f t="shared" si="0"/>
        <v>256121</v>
      </c>
      <c r="P48" s="30"/>
      <c r="Q48" s="30"/>
      <c r="R48" s="30"/>
      <c r="S48" s="30">
        <v>215519.25</v>
      </c>
      <c r="T48" s="30">
        <v>215519.25</v>
      </c>
      <c r="U48" s="30">
        <v>215519.25</v>
      </c>
      <c r="V48" s="30"/>
      <c r="W48" s="30"/>
      <c r="X48" s="31"/>
    </row>
    <row r="49" spans="1:252" s="27" customFormat="1" ht="36.75" customHeight="1" x14ac:dyDescent="0.2">
      <c r="A49" s="21" t="s">
        <v>36</v>
      </c>
      <c r="B49" s="28" t="s">
        <v>37</v>
      </c>
      <c r="C49" s="29" t="s">
        <v>70</v>
      </c>
      <c r="D49" s="29" t="s">
        <v>75</v>
      </c>
      <c r="E49" s="28" t="s">
        <v>49</v>
      </c>
      <c r="F49" s="28" t="s">
        <v>76</v>
      </c>
      <c r="G49" s="29" t="s">
        <v>42</v>
      </c>
      <c r="H49" s="29" t="s">
        <v>43</v>
      </c>
      <c r="I49" s="28" t="s">
        <v>44</v>
      </c>
      <c r="J49" s="29" t="s">
        <v>51</v>
      </c>
      <c r="K49" s="30">
        <v>659085</v>
      </c>
      <c r="L49" s="30">
        <f>428515</f>
        <v>428515</v>
      </c>
      <c r="M49" s="25">
        <v>0</v>
      </c>
      <c r="N49" s="25">
        <v>0</v>
      </c>
      <c r="O49" s="25">
        <f t="shared" si="0"/>
        <v>1087600</v>
      </c>
      <c r="P49" s="30"/>
      <c r="Q49" s="30"/>
      <c r="R49" s="30"/>
      <c r="S49" s="30"/>
      <c r="T49" s="30"/>
      <c r="U49" s="30"/>
      <c r="V49" s="30">
        <v>1000232.32</v>
      </c>
      <c r="W49" s="30">
        <v>1000232.32</v>
      </c>
      <c r="X49" s="31">
        <v>1000232.32</v>
      </c>
    </row>
    <row r="50" spans="1:252" s="7" customFormat="1" ht="36.75" customHeight="1" x14ac:dyDescent="0.2">
      <c r="A50" s="21" t="s">
        <v>36</v>
      </c>
      <c r="B50" s="28" t="s">
        <v>37</v>
      </c>
      <c r="C50" s="29" t="s">
        <v>77</v>
      </c>
      <c r="D50" s="29" t="s">
        <v>78</v>
      </c>
      <c r="E50" s="28" t="s">
        <v>49</v>
      </c>
      <c r="F50" s="28" t="s">
        <v>79</v>
      </c>
      <c r="G50" s="29" t="s">
        <v>42</v>
      </c>
      <c r="H50" s="29" t="s">
        <v>43</v>
      </c>
      <c r="I50" s="28" t="s">
        <v>44</v>
      </c>
      <c r="J50" s="29" t="s">
        <v>51</v>
      </c>
      <c r="K50" s="30">
        <v>30380058</v>
      </c>
      <c r="L50" s="30">
        <f>3854161-3600000</f>
        <v>254161</v>
      </c>
      <c r="M50" s="25">
        <v>0</v>
      </c>
      <c r="N50" s="25">
        <v>0</v>
      </c>
      <c r="O50" s="25">
        <f t="shared" si="0"/>
        <v>30634219</v>
      </c>
      <c r="P50" s="30">
        <v>30393651.98</v>
      </c>
      <c r="Q50" s="30">
        <v>30393651.98</v>
      </c>
      <c r="R50" s="30">
        <v>30393651.98</v>
      </c>
      <c r="S50" s="30"/>
      <c r="T50" s="30"/>
      <c r="U50" s="30"/>
      <c r="V50" s="30"/>
      <c r="W50" s="30"/>
      <c r="X50" s="31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</row>
    <row r="51" spans="1:252" s="7" customFormat="1" ht="36.75" customHeight="1" x14ac:dyDescent="0.2">
      <c r="A51" s="21" t="s">
        <v>36</v>
      </c>
      <c r="B51" s="28" t="s">
        <v>37</v>
      </c>
      <c r="C51" s="29" t="s">
        <v>77</v>
      </c>
      <c r="D51" s="29" t="s">
        <v>80</v>
      </c>
      <c r="E51" s="28" t="s">
        <v>49</v>
      </c>
      <c r="F51" s="28" t="s">
        <v>81</v>
      </c>
      <c r="G51" s="29" t="s">
        <v>42</v>
      </c>
      <c r="H51" s="29" t="s">
        <v>43</v>
      </c>
      <c r="I51" s="28" t="s">
        <v>44</v>
      </c>
      <c r="J51" s="29" t="s">
        <v>51</v>
      </c>
      <c r="K51" s="30">
        <v>4324495</v>
      </c>
      <c r="L51" s="30">
        <f>302000-150000</f>
        <v>152000</v>
      </c>
      <c r="M51" s="25">
        <v>0</v>
      </c>
      <c r="N51" s="25">
        <v>0</v>
      </c>
      <c r="O51" s="25">
        <f t="shared" si="0"/>
        <v>4476495</v>
      </c>
      <c r="P51" s="30"/>
      <c r="Q51" s="30"/>
      <c r="R51" s="30"/>
      <c r="S51" s="30">
        <v>4475842.3099999996</v>
      </c>
      <c r="T51" s="30">
        <v>4475842.3099999996</v>
      </c>
      <c r="U51" s="30">
        <v>4475842.3099999996</v>
      </c>
      <c r="V51" s="30"/>
      <c r="W51" s="30"/>
      <c r="X51" s="31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</row>
    <row r="52" spans="1:252" s="7" customFormat="1" ht="36.75" customHeight="1" x14ac:dyDescent="0.2">
      <c r="A52" s="21" t="s">
        <v>36</v>
      </c>
      <c r="B52" s="28" t="s">
        <v>37</v>
      </c>
      <c r="C52" s="29" t="s">
        <v>77</v>
      </c>
      <c r="D52" s="29" t="s">
        <v>82</v>
      </c>
      <c r="E52" s="28" t="s">
        <v>49</v>
      </c>
      <c r="F52" s="28" t="s">
        <v>83</v>
      </c>
      <c r="G52" s="29" t="s">
        <v>42</v>
      </c>
      <c r="H52" s="29" t="s">
        <v>43</v>
      </c>
      <c r="I52" s="28" t="s">
        <v>44</v>
      </c>
      <c r="J52" s="29" t="s">
        <v>51</v>
      </c>
      <c r="K52" s="30">
        <v>9625375</v>
      </c>
      <c r="L52" s="30">
        <f>1270000</f>
        <v>1270000</v>
      </c>
      <c r="M52" s="25">
        <v>0</v>
      </c>
      <c r="N52" s="25">
        <v>0</v>
      </c>
      <c r="O52" s="25">
        <f t="shared" si="0"/>
        <v>10895375</v>
      </c>
      <c r="P52" s="30"/>
      <c r="Q52" s="30"/>
      <c r="R52" s="30"/>
      <c r="S52" s="30"/>
      <c r="T52" s="30"/>
      <c r="U52" s="30"/>
      <c r="V52" s="30">
        <v>10895153.52</v>
      </c>
      <c r="W52" s="30">
        <v>10895153.52</v>
      </c>
      <c r="X52" s="31">
        <v>10895153.52</v>
      </c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</row>
    <row r="53" spans="1:252" s="7" customFormat="1" ht="36.75" customHeight="1" x14ac:dyDescent="0.2">
      <c r="A53" s="21" t="s">
        <v>36</v>
      </c>
      <c r="B53" s="28" t="s">
        <v>37</v>
      </c>
      <c r="C53" s="29" t="s">
        <v>77</v>
      </c>
      <c r="D53" s="29" t="s">
        <v>84</v>
      </c>
      <c r="E53" s="28" t="s">
        <v>49</v>
      </c>
      <c r="F53" s="28" t="s">
        <v>85</v>
      </c>
      <c r="G53" s="29" t="s">
        <v>42</v>
      </c>
      <c r="H53" s="29" t="s">
        <v>43</v>
      </c>
      <c r="I53" s="28" t="s">
        <v>44</v>
      </c>
      <c r="J53" s="29" t="s">
        <v>51</v>
      </c>
      <c r="K53" s="30">
        <v>14244506</v>
      </c>
      <c r="L53" s="30">
        <v>1150000</v>
      </c>
      <c r="M53" s="25">
        <v>0</v>
      </c>
      <c r="N53" s="25">
        <v>0</v>
      </c>
      <c r="O53" s="25">
        <f t="shared" si="0"/>
        <v>15394506</v>
      </c>
      <c r="P53" s="30">
        <v>15323708.390000001</v>
      </c>
      <c r="Q53" s="30">
        <v>15323708.390000001</v>
      </c>
      <c r="R53" s="30">
        <v>15323708.390000001</v>
      </c>
      <c r="S53" s="30"/>
      <c r="T53" s="30"/>
      <c r="U53" s="30"/>
      <c r="V53" s="30"/>
      <c r="W53" s="30"/>
      <c r="X53" s="31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</row>
    <row r="54" spans="1:252" s="7" customFormat="1" ht="36.75" customHeight="1" x14ac:dyDescent="0.2">
      <c r="A54" s="21" t="s">
        <v>36</v>
      </c>
      <c r="B54" s="28" t="s">
        <v>37</v>
      </c>
      <c r="C54" s="29" t="s">
        <v>77</v>
      </c>
      <c r="D54" s="29" t="s">
        <v>84</v>
      </c>
      <c r="E54" s="28" t="s">
        <v>49</v>
      </c>
      <c r="F54" s="28" t="s">
        <v>85</v>
      </c>
      <c r="G54" s="29" t="s">
        <v>42</v>
      </c>
      <c r="H54" s="29" t="s">
        <v>52</v>
      </c>
      <c r="I54" s="28" t="s">
        <v>53</v>
      </c>
      <c r="J54" s="29" t="s">
        <v>51</v>
      </c>
      <c r="K54" s="30">
        <v>748504</v>
      </c>
      <c r="L54" s="30">
        <v>0</v>
      </c>
      <c r="M54" s="25">
        <v>0</v>
      </c>
      <c r="N54" s="25">
        <v>0</v>
      </c>
      <c r="O54" s="25">
        <f t="shared" si="0"/>
        <v>748504</v>
      </c>
      <c r="P54" s="30">
        <v>0</v>
      </c>
      <c r="Q54" s="30">
        <v>0</v>
      </c>
      <c r="R54" s="30">
        <v>0</v>
      </c>
      <c r="S54" s="30"/>
      <c r="T54" s="30"/>
      <c r="U54" s="30"/>
      <c r="V54" s="30"/>
      <c r="W54" s="30"/>
      <c r="X54" s="31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</row>
    <row r="55" spans="1:252" s="7" customFormat="1" ht="36.75" customHeight="1" x14ac:dyDescent="0.2">
      <c r="A55" s="21" t="s">
        <v>36</v>
      </c>
      <c r="B55" s="28" t="s">
        <v>37</v>
      </c>
      <c r="C55" s="29" t="s">
        <v>77</v>
      </c>
      <c r="D55" s="29" t="s">
        <v>84</v>
      </c>
      <c r="E55" s="28" t="s">
        <v>49</v>
      </c>
      <c r="F55" s="28" t="s">
        <v>85</v>
      </c>
      <c r="G55" s="29" t="s">
        <v>42</v>
      </c>
      <c r="H55" s="29" t="s">
        <v>56</v>
      </c>
      <c r="I55" s="28" t="s">
        <v>57</v>
      </c>
      <c r="J55" s="29" t="s">
        <v>51</v>
      </c>
      <c r="K55" s="30">
        <v>0</v>
      </c>
      <c r="L55" s="30">
        <f>1250000</f>
        <v>1250000</v>
      </c>
      <c r="M55" s="25">
        <v>0</v>
      </c>
      <c r="N55" s="25">
        <v>0</v>
      </c>
      <c r="O55" s="25">
        <f t="shared" si="0"/>
        <v>1250000</v>
      </c>
      <c r="P55" s="30">
        <v>0</v>
      </c>
      <c r="Q55" s="30">
        <v>0</v>
      </c>
      <c r="R55" s="30">
        <v>0</v>
      </c>
      <c r="S55" s="30"/>
      <c r="T55" s="30"/>
      <c r="U55" s="30"/>
      <c r="V55" s="30"/>
      <c r="W55" s="30"/>
      <c r="X55" s="31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</row>
    <row r="56" spans="1:252" s="7" customFormat="1" ht="36.75" customHeight="1" x14ac:dyDescent="0.2">
      <c r="A56" s="21" t="s">
        <v>36</v>
      </c>
      <c r="B56" s="28" t="s">
        <v>37</v>
      </c>
      <c r="C56" s="29" t="s">
        <v>77</v>
      </c>
      <c r="D56" s="29" t="s">
        <v>86</v>
      </c>
      <c r="E56" s="28" t="s">
        <v>49</v>
      </c>
      <c r="F56" s="28" t="s">
        <v>87</v>
      </c>
      <c r="G56" s="29" t="s">
        <v>42</v>
      </c>
      <c r="H56" s="29" t="s">
        <v>43</v>
      </c>
      <c r="I56" s="28" t="s">
        <v>44</v>
      </c>
      <c r="J56" s="29" t="s">
        <v>51</v>
      </c>
      <c r="K56" s="30">
        <v>510000</v>
      </c>
      <c r="L56" s="30">
        <f>-35000</f>
        <v>-35000</v>
      </c>
      <c r="M56" s="25">
        <v>0</v>
      </c>
      <c r="N56" s="25">
        <v>0</v>
      </c>
      <c r="O56" s="25">
        <f t="shared" si="0"/>
        <v>475000</v>
      </c>
      <c r="P56" s="30"/>
      <c r="Q56" s="30"/>
      <c r="R56" s="30"/>
      <c r="S56" s="30">
        <v>474463.04</v>
      </c>
      <c r="T56" s="30">
        <v>474463.04</v>
      </c>
      <c r="U56" s="30">
        <v>474463.04</v>
      </c>
      <c r="V56" s="30"/>
      <c r="W56" s="30"/>
      <c r="X56" s="31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</row>
    <row r="57" spans="1:252" s="7" customFormat="1" ht="36.75" customHeight="1" x14ac:dyDescent="0.2">
      <c r="A57" s="21" t="s">
        <v>36</v>
      </c>
      <c r="B57" s="28" t="s">
        <v>37</v>
      </c>
      <c r="C57" s="29" t="s">
        <v>77</v>
      </c>
      <c r="D57" s="29" t="s">
        <v>88</v>
      </c>
      <c r="E57" s="28" t="s">
        <v>49</v>
      </c>
      <c r="F57" s="28" t="s">
        <v>89</v>
      </c>
      <c r="G57" s="29" t="s">
        <v>42</v>
      </c>
      <c r="H57" s="29" t="s">
        <v>43</v>
      </c>
      <c r="I57" s="28" t="s">
        <v>44</v>
      </c>
      <c r="J57" s="29" t="s">
        <v>51</v>
      </c>
      <c r="K57" s="30">
        <v>956770</v>
      </c>
      <c r="L57" s="30">
        <f>45000</f>
        <v>45000</v>
      </c>
      <c r="M57" s="25">
        <v>0</v>
      </c>
      <c r="N57" s="25">
        <v>0</v>
      </c>
      <c r="O57" s="25">
        <f t="shared" si="0"/>
        <v>1001770</v>
      </c>
      <c r="P57" s="30"/>
      <c r="Q57" s="30"/>
      <c r="R57" s="30"/>
      <c r="S57" s="30"/>
      <c r="T57" s="30"/>
      <c r="U57" s="30"/>
      <c r="V57" s="30">
        <v>988931.54</v>
      </c>
      <c r="W57" s="30">
        <v>988931.54</v>
      </c>
      <c r="X57" s="31">
        <v>988931.54</v>
      </c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</row>
    <row r="58" spans="1:252" s="27" customFormat="1" ht="36.75" customHeight="1" x14ac:dyDescent="0.2">
      <c r="A58" s="21" t="s">
        <v>36</v>
      </c>
      <c r="B58" s="28" t="s">
        <v>37</v>
      </c>
      <c r="C58" s="23" t="s">
        <v>77</v>
      </c>
      <c r="D58" s="23" t="s">
        <v>90</v>
      </c>
      <c r="E58" s="33" t="s">
        <v>49</v>
      </c>
      <c r="F58" s="35" t="s">
        <v>91</v>
      </c>
      <c r="G58" s="23" t="s">
        <v>42</v>
      </c>
      <c r="H58" s="23" t="s">
        <v>43</v>
      </c>
      <c r="I58" s="33" t="s">
        <v>44</v>
      </c>
      <c r="J58" s="23" t="s">
        <v>51</v>
      </c>
      <c r="K58" s="25">
        <v>432000</v>
      </c>
      <c r="L58" s="25">
        <f>-10000</f>
        <v>-10000</v>
      </c>
      <c r="M58" s="25">
        <v>0</v>
      </c>
      <c r="N58" s="25">
        <v>0</v>
      </c>
      <c r="O58" s="25">
        <f t="shared" si="0"/>
        <v>422000</v>
      </c>
      <c r="P58" s="25">
        <v>421940.72</v>
      </c>
      <c r="Q58" s="25">
        <v>421940.72</v>
      </c>
      <c r="R58" s="25">
        <v>421940.72</v>
      </c>
      <c r="S58" s="25"/>
      <c r="T58" s="25"/>
      <c r="U58" s="25"/>
      <c r="V58" s="25"/>
      <c r="W58" s="25"/>
      <c r="X58" s="26"/>
    </row>
    <row r="59" spans="1:252" s="27" customFormat="1" ht="36.75" customHeight="1" x14ac:dyDescent="0.2">
      <c r="A59" s="21" t="s">
        <v>36</v>
      </c>
      <c r="B59" s="28" t="s">
        <v>37</v>
      </c>
      <c r="C59" s="36" t="s">
        <v>77</v>
      </c>
      <c r="D59" s="36" t="s">
        <v>92</v>
      </c>
      <c r="E59" s="37" t="s">
        <v>49</v>
      </c>
      <c r="F59" s="37" t="s">
        <v>93</v>
      </c>
      <c r="G59" s="36" t="s">
        <v>42</v>
      </c>
      <c r="H59" s="36" t="s">
        <v>43</v>
      </c>
      <c r="I59" s="37" t="s">
        <v>44</v>
      </c>
      <c r="J59" s="36" t="s">
        <v>51</v>
      </c>
      <c r="K59" s="38">
        <v>22019</v>
      </c>
      <c r="L59" s="39">
        <v>0</v>
      </c>
      <c r="M59" s="39">
        <v>0</v>
      </c>
      <c r="N59" s="39">
        <v>0</v>
      </c>
      <c r="O59" s="25">
        <f t="shared" si="0"/>
        <v>22019</v>
      </c>
      <c r="P59" s="39">
        <v>21301.64</v>
      </c>
      <c r="Q59" s="39">
        <v>21301.64</v>
      </c>
      <c r="R59" s="39">
        <v>21301.64</v>
      </c>
      <c r="S59" s="39"/>
      <c r="T59" s="39"/>
      <c r="U59" s="39"/>
      <c r="V59" s="39"/>
      <c r="W59" s="39"/>
      <c r="X59" s="40"/>
    </row>
    <row r="60" spans="1:252" s="27" customFormat="1" ht="36.75" customHeight="1" x14ac:dyDescent="0.2">
      <c r="A60" s="21" t="s">
        <v>36</v>
      </c>
      <c r="B60" s="28" t="s">
        <v>37</v>
      </c>
      <c r="C60" s="29" t="s">
        <v>77</v>
      </c>
      <c r="D60" s="29" t="s">
        <v>94</v>
      </c>
      <c r="E60" s="28" t="s">
        <v>49</v>
      </c>
      <c r="F60" s="28" t="s">
        <v>95</v>
      </c>
      <c r="G60" s="29" t="s">
        <v>42</v>
      </c>
      <c r="H60" s="29" t="s">
        <v>43</v>
      </c>
      <c r="I60" s="28" t="s">
        <v>44</v>
      </c>
      <c r="J60" s="29" t="s">
        <v>51</v>
      </c>
      <c r="K60" s="30">
        <v>16547810</v>
      </c>
      <c r="L60" s="30">
        <f>-16547810</f>
        <v>-16547810</v>
      </c>
      <c r="M60" s="30">
        <v>0</v>
      </c>
      <c r="N60" s="30">
        <v>0</v>
      </c>
      <c r="O60" s="25">
        <f t="shared" si="0"/>
        <v>0</v>
      </c>
      <c r="P60" s="30">
        <v>0</v>
      </c>
      <c r="Q60" s="30">
        <v>0</v>
      </c>
      <c r="R60" s="30">
        <v>0</v>
      </c>
      <c r="S60" s="30"/>
      <c r="T60" s="30"/>
      <c r="U60" s="30"/>
      <c r="V60" s="30"/>
      <c r="W60" s="30"/>
      <c r="X60" s="31"/>
    </row>
    <row r="61" spans="1:252" s="27" customFormat="1" ht="36.75" customHeight="1" x14ac:dyDescent="0.2">
      <c r="A61" s="41" t="s">
        <v>36</v>
      </c>
      <c r="B61" s="34" t="s">
        <v>37</v>
      </c>
      <c r="C61" s="36" t="s">
        <v>77</v>
      </c>
      <c r="D61" s="36" t="s">
        <v>96</v>
      </c>
      <c r="E61" s="34" t="s">
        <v>49</v>
      </c>
      <c r="F61" s="28" t="s">
        <v>97</v>
      </c>
      <c r="G61" s="36" t="s">
        <v>42</v>
      </c>
      <c r="H61" s="36" t="s">
        <v>43</v>
      </c>
      <c r="I61" s="34" t="s">
        <v>44</v>
      </c>
      <c r="J61" s="36" t="s">
        <v>51</v>
      </c>
      <c r="K61" s="38">
        <v>1418385</v>
      </c>
      <c r="L61" s="38">
        <f>-1418385</f>
        <v>-1418385</v>
      </c>
      <c r="M61" s="38">
        <v>0</v>
      </c>
      <c r="N61" s="38">
        <v>0</v>
      </c>
      <c r="O61" s="25">
        <f t="shared" si="0"/>
        <v>0</v>
      </c>
      <c r="P61" s="38"/>
      <c r="Q61" s="38"/>
      <c r="R61" s="38"/>
      <c r="S61" s="38">
        <v>0</v>
      </c>
      <c r="T61" s="38">
        <v>0</v>
      </c>
      <c r="U61" s="38">
        <v>0</v>
      </c>
      <c r="V61" s="38"/>
      <c r="W61" s="38"/>
      <c r="X61" s="42"/>
    </row>
    <row r="62" spans="1:252" s="7" customFormat="1" ht="21" customHeight="1" x14ac:dyDescent="0.2">
      <c r="A62" s="118" t="s">
        <v>98</v>
      </c>
      <c r="B62" s="119"/>
      <c r="C62" s="119"/>
      <c r="D62" s="119"/>
      <c r="E62" s="119"/>
      <c r="F62" s="119"/>
      <c r="G62" s="119"/>
      <c r="H62" s="119"/>
      <c r="I62" s="119"/>
      <c r="J62" s="120"/>
      <c r="K62" s="43">
        <f>SUM(K16:K61)</f>
        <v>993788134</v>
      </c>
      <c r="L62" s="43">
        <f t="shared" ref="L62:O62" si="1">SUM(L16:L61)</f>
        <v>40151026.999999993</v>
      </c>
      <c r="M62" s="43">
        <f t="shared" si="1"/>
        <v>0</v>
      </c>
      <c r="N62" s="43">
        <f t="shared" si="1"/>
        <v>-2320632.9000000004</v>
      </c>
      <c r="O62" s="43">
        <f t="shared" si="1"/>
        <v>1031618528.0999999</v>
      </c>
      <c r="P62" s="43">
        <f>SUM(P16:P61)</f>
        <v>731232917.23999989</v>
      </c>
      <c r="Q62" s="43">
        <f t="shared" ref="Q62:X62" si="2">SUM(Q16:Q61)</f>
        <v>731232917.23999989</v>
      </c>
      <c r="R62" s="43">
        <f t="shared" si="2"/>
        <v>722804346.39999998</v>
      </c>
      <c r="S62" s="43">
        <f t="shared" si="2"/>
        <v>97010592.329999998</v>
      </c>
      <c r="T62" s="43">
        <f t="shared" si="2"/>
        <v>97010592.329999998</v>
      </c>
      <c r="U62" s="43">
        <f t="shared" si="2"/>
        <v>96079076.709999993</v>
      </c>
      <c r="V62" s="43">
        <f t="shared" si="2"/>
        <v>187545194.91</v>
      </c>
      <c r="W62" s="43">
        <f t="shared" si="2"/>
        <v>187545194.91</v>
      </c>
      <c r="X62" s="44">
        <f t="shared" si="2"/>
        <v>184941962.25999999</v>
      </c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</row>
    <row r="63" spans="1:252" s="7" customFormat="1" ht="36" customHeight="1" x14ac:dyDescent="0.2">
      <c r="A63" s="21" t="s">
        <v>99</v>
      </c>
      <c r="B63" s="22" t="s">
        <v>100</v>
      </c>
      <c r="C63" s="29" t="s">
        <v>47</v>
      </c>
      <c r="D63" s="29" t="s">
        <v>101</v>
      </c>
      <c r="E63" s="28" t="s">
        <v>49</v>
      </c>
      <c r="F63" s="28" t="s">
        <v>102</v>
      </c>
      <c r="G63" s="23" t="s">
        <v>42</v>
      </c>
      <c r="H63" s="29" t="s">
        <v>103</v>
      </c>
      <c r="I63" s="28" t="s">
        <v>104</v>
      </c>
      <c r="J63" s="23" t="s">
        <v>51</v>
      </c>
      <c r="K63" s="30">
        <v>7658625</v>
      </c>
      <c r="L63" s="25">
        <v>500000</v>
      </c>
      <c r="M63" s="25">
        <v>0</v>
      </c>
      <c r="N63" s="25">
        <v>0</v>
      </c>
      <c r="O63" s="25">
        <f t="shared" ref="O63:O79" si="3">K63+L63+M63+N63</f>
        <v>8158625</v>
      </c>
      <c r="P63" s="25">
        <v>7884030.04</v>
      </c>
      <c r="Q63" s="25">
        <v>7884030.04</v>
      </c>
      <c r="R63" s="25">
        <v>7884030.04</v>
      </c>
      <c r="S63" s="25"/>
      <c r="T63" s="25"/>
      <c r="U63" s="25"/>
      <c r="V63" s="25"/>
      <c r="W63" s="25"/>
      <c r="X63" s="26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</row>
    <row r="64" spans="1:252" s="7" customFormat="1" ht="36" customHeight="1" x14ac:dyDescent="0.2">
      <c r="A64" s="21" t="s">
        <v>99</v>
      </c>
      <c r="B64" s="22" t="s">
        <v>100</v>
      </c>
      <c r="C64" s="29" t="s">
        <v>47</v>
      </c>
      <c r="D64" s="29" t="s">
        <v>101</v>
      </c>
      <c r="E64" s="28" t="s">
        <v>49</v>
      </c>
      <c r="F64" s="28" t="s">
        <v>102</v>
      </c>
      <c r="G64" s="23" t="s">
        <v>42</v>
      </c>
      <c r="H64" s="29" t="s">
        <v>54</v>
      </c>
      <c r="I64" s="28" t="s">
        <v>55</v>
      </c>
      <c r="J64" s="23" t="s">
        <v>51</v>
      </c>
      <c r="K64" s="30">
        <v>0</v>
      </c>
      <c r="L64" s="25">
        <v>670000</v>
      </c>
      <c r="M64" s="25">
        <v>0</v>
      </c>
      <c r="N64" s="25">
        <v>0</v>
      </c>
      <c r="O64" s="25">
        <f t="shared" si="3"/>
        <v>670000</v>
      </c>
      <c r="P64" s="25">
        <v>533000</v>
      </c>
      <c r="Q64" s="25">
        <v>533000</v>
      </c>
      <c r="R64" s="25">
        <v>533000</v>
      </c>
      <c r="S64" s="25"/>
      <c r="T64" s="25"/>
      <c r="U64" s="25"/>
      <c r="V64" s="25"/>
      <c r="W64" s="25"/>
      <c r="X64" s="2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</row>
    <row r="65" spans="1:252" s="7" customFormat="1" ht="36" customHeight="1" x14ac:dyDescent="0.2">
      <c r="A65" s="21" t="s">
        <v>99</v>
      </c>
      <c r="B65" s="22" t="s">
        <v>100</v>
      </c>
      <c r="C65" s="29" t="s">
        <v>47</v>
      </c>
      <c r="D65" s="29" t="s">
        <v>105</v>
      </c>
      <c r="E65" s="28" t="s">
        <v>49</v>
      </c>
      <c r="F65" s="28" t="s">
        <v>106</v>
      </c>
      <c r="G65" s="29" t="s">
        <v>42</v>
      </c>
      <c r="H65" s="29" t="s">
        <v>103</v>
      </c>
      <c r="I65" s="28" t="s">
        <v>104</v>
      </c>
      <c r="J65" s="29" t="s">
        <v>51</v>
      </c>
      <c r="K65" s="30">
        <v>363135</v>
      </c>
      <c r="L65" s="30">
        <v>0</v>
      </c>
      <c r="M65" s="30">
        <v>0</v>
      </c>
      <c r="N65" s="30">
        <v>0</v>
      </c>
      <c r="O65" s="25">
        <f t="shared" si="3"/>
        <v>363135</v>
      </c>
      <c r="P65" s="30"/>
      <c r="Q65" s="30"/>
      <c r="R65" s="30"/>
      <c r="S65" s="30">
        <v>345656.35</v>
      </c>
      <c r="T65" s="30">
        <v>345656.35</v>
      </c>
      <c r="U65" s="30">
        <v>345656.35</v>
      </c>
      <c r="V65" s="30"/>
      <c r="W65" s="30"/>
      <c r="X65" s="31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</row>
    <row r="66" spans="1:252" s="7" customFormat="1" ht="36" customHeight="1" x14ac:dyDescent="0.2">
      <c r="A66" s="21" t="s">
        <v>99</v>
      </c>
      <c r="B66" s="22" t="s">
        <v>100</v>
      </c>
      <c r="C66" s="29" t="s">
        <v>47</v>
      </c>
      <c r="D66" s="29" t="s">
        <v>105</v>
      </c>
      <c r="E66" s="28" t="s">
        <v>49</v>
      </c>
      <c r="F66" s="28" t="s">
        <v>106</v>
      </c>
      <c r="G66" s="29" t="s">
        <v>42</v>
      </c>
      <c r="H66" s="29" t="s">
        <v>54</v>
      </c>
      <c r="I66" s="28" t="s">
        <v>55</v>
      </c>
      <c r="J66" s="29" t="s">
        <v>51</v>
      </c>
      <c r="K66" s="30">
        <v>0</v>
      </c>
      <c r="L66" s="30">
        <v>45000</v>
      </c>
      <c r="M66" s="30">
        <v>0</v>
      </c>
      <c r="N66" s="30">
        <v>0</v>
      </c>
      <c r="O66" s="25">
        <f t="shared" si="3"/>
        <v>45000</v>
      </c>
      <c r="P66" s="30"/>
      <c r="Q66" s="30"/>
      <c r="R66" s="30"/>
      <c r="S66" s="30">
        <v>24901.16</v>
      </c>
      <c r="T66" s="30">
        <v>24901.16</v>
      </c>
      <c r="U66" s="30">
        <v>24901.16</v>
      </c>
      <c r="V66" s="30"/>
      <c r="W66" s="30"/>
      <c r="X66" s="31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</row>
    <row r="67" spans="1:252" s="27" customFormat="1" ht="36" customHeight="1" x14ac:dyDescent="0.2">
      <c r="A67" s="21" t="s">
        <v>99</v>
      </c>
      <c r="B67" s="22" t="s">
        <v>100</v>
      </c>
      <c r="C67" s="29" t="s">
        <v>47</v>
      </c>
      <c r="D67" s="29" t="s">
        <v>107</v>
      </c>
      <c r="E67" s="28" t="s">
        <v>49</v>
      </c>
      <c r="F67" s="28" t="s">
        <v>108</v>
      </c>
      <c r="G67" s="29" t="s">
        <v>42</v>
      </c>
      <c r="H67" s="29" t="s">
        <v>103</v>
      </c>
      <c r="I67" s="28" t="s">
        <v>104</v>
      </c>
      <c r="J67" s="29" t="s">
        <v>51</v>
      </c>
      <c r="K67" s="30">
        <v>381760</v>
      </c>
      <c r="L67" s="30">
        <v>0</v>
      </c>
      <c r="M67" s="30">
        <v>0</v>
      </c>
      <c r="N67" s="30">
        <v>0</v>
      </c>
      <c r="O67" s="25">
        <f t="shared" si="3"/>
        <v>381760</v>
      </c>
      <c r="P67" s="30"/>
      <c r="Q67" s="30"/>
      <c r="R67" s="30"/>
      <c r="S67" s="30"/>
      <c r="T67" s="30"/>
      <c r="U67" s="30"/>
      <c r="V67" s="30">
        <v>371370.23</v>
      </c>
      <c r="W67" s="30">
        <v>371370.23</v>
      </c>
      <c r="X67" s="31">
        <v>371370.23</v>
      </c>
    </row>
    <row r="68" spans="1:252" s="27" customFormat="1" ht="36" customHeight="1" x14ac:dyDescent="0.2">
      <c r="A68" s="21" t="s">
        <v>99</v>
      </c>
      <c r="B68" s="22" t="s">
        <v>100</v>
      </c>
      <c r="C68" s="29" t="s">
        <v>47</v>
      </c>
      <c r="D68" s="29" t="s">
        <v>107</v>
      </c>
      <c r="E68" s="28" t="s">
        <v>49</v>
      </c>
      <c r="F68" s="28" t="s">
        <v>108</v>
      </c>
      <c r="G68" s="29" t="s">
        <v>42</v>
      </c>
      <c r="H68" s="29" t="s">
        <v>54</v>
      </c>
      <c r="I68" s="28" t="s">
        <v>55</v>
      </c>
      <c r="J68" s="23" t="s">
        <v>51</v>
      </c>
      <c r="K68" s="25">
        <v>0</v>
      </c>
      <c r="L68" s="25">
        <v>90000</v>
      </c>
      <c r="M68" s="25">
        <v>0</v>
      </c>
      <c r="N68" s="25">
        <v>0</v>
      </c>
      <c r="O68" s="25">
        <f t="shared" si="3"/>
        <v>90000</v>
      </c>
      <c r="P68" s="25"/>
      <c r="Q68" s="25"/>
      <c r="R68" s="25"/>
      <c r="S68" s="25"/>
      <c r="T68" s="25"/>
      <c r="U68" s="25"/>
      <c r="V68" s="25">
        <v>83958.39</v>
      </c>
      <c r="W68" s="25">
        <v>83958.39</v>
      </c>
      <c r="X68" s="26">
        <v>83958.39</v>
      </c>
    </row>
    <row r="69" spans="1:252" s="27" customFormat="1" ht="36" customHeight="1" x14ac:dyDescent="0.2">
      <c r="A69" s="21" t="s">
        <v>99</v>
      </c>
      <c r="B69" s="28" t="s">
        <v>100</v>
      </c>
      <c r="C69" s="23" t="s">
        <v>47</v>
      </c>
      <c r="D69" s="23" t="s">
        <v>109</v>
      </c>
      <c r="E69" s="32" t="s">
        <v>49</v>
      </c>
      <c r="F69" s="32" t="s">
        <v>67</v>
      </c>
      <c r="G69" s="23" t="s">
        <v>42</v>
      </c>
      <c r="H69" s="29" t="s">
        <v>103</v>
      </c>
      <c r="I69" s="28" t="s">
        <v>104</v>
      </c>
      <c r="J69" s="23" t="s">
        <v>51</v>
      </c>
      <c r="K69" s="25">
        <v>59133</v>
      </c>
      <c r="L69" s="25">
        <v>0</v>
      </c>
      <c r="M69" s="25">
        <v>0</v>
      </c>
      <c r="N69" s="25">
        <v>0</v>
      </c>
      <c r="O69" s="25">
        <f t="shared" si="3"/>
        <v>59133</v>
      </c>
      <c r="P69" s="25">
        <v>6803.64</v>
      </c>
      <c r="Q69" s="25">
        <v>6803.64</v>
      </c>
      <c r="R69" s="25">
        <v>6803.64</v>
      </c>
      <c r="S69" s="25"/>
      <c r="T69" s="25"/>
      <c r="U69" s="25"/>
      <c r="V69" s="25"/>
      <c r="W69" s="25"/>
      <c r="X69" s="26"/>
    </row>
    <row r="70" spans="1:252" s="27" customFormat="1" ht="36" customHeight="1" x14ac:dyDescent="0.2">
      <c r="A70" s="21" t="s">
        <v>99</v>
      </c>
      <c r="B70" s="22" t="s">
        <v>100</v>
      </c>
      <c r="C70" s="23" t="s">
        <v>70</v>
      </c>
      <c r="D70" s="23" t="s">
        <v>110</v>
      </c>
      <c r="E70" s="22" t="s">
        <v>49</v>
      </c>
      <c r="F70" s="24" t="s">
        <v>111</v>
      </c>
      <c r="G70" s="23" t="s">
        <v>42</v>
      </c>
      <c r="H70" s="29" t="s">
        <v>103</v>
      </c>
      <c r="I70" s="28" t="s">
        <v>104</v>
      </c>
      <c r="J70" s="29" t="s">
        <v>51</v>
      </c>
      <c r="K70" s="25">
        <v>5744965</v>
      </c>
      <c r="L70" s="25">
        <v>0</v>
      </c>
      <c r="M70" s="25">
        <v>0</v>
      </c>
      <c r="N70" s="25">
        <v>0</v>
      </c>
      <c r="O70" s="25">
        <f t="shared" si="3"/>
        <v>5744965</v>
      </c>
      <c r="P70" s="25">
        <v>5744893.5300000003</v>
      </c>
      <c r="Q70" s="25">
        <v>5744893.5300000003</v>
      </c>
      <c r="R70" s="25">
        <v>5744893.5300000003</v>
      </c>
      <c r="S70" s="25"/>
      <c r="T70" s="25"/>
      <c r="U70" s="25"/>
      <c r="V70" s="25"/>
      <c r="W70" s="25"/>
      <c r="X70" s="26"/>
    </row>
    <row r="71" spans="1:252" s="27" customFormat="1" ht="36" customHeight="1" x14ac:dyDescent="0.2">
      <c r="A71" s="21" t="s">
        <v>99</v>
      </c>
      <c r="B71" s="22" t="s">
        <v>100</v>
      </c>
      <c r="C71" s="23" t="s">
        <v>70</v>
      </c>
      <c r="D71" s="23" t="s">
        <v>110</v>
      </c>
      <c r="E71" s="22" t="s">
        <v>49</v>
      </c>
      <c r="F71" s="24" t="s">
        <v>111</v>
      </c>
      <c r="G71" s="23" t="s">
        <v>42</v>
      </c>
      <c r="H71" s="29" t="s">
        <v>54</v>
      </c>
      <c r="I71" s="28" t="s">
        <v>55</v>
      </c>
      <c r="J71" s="29" t="s">
        <v>51</v>
      </c>
      <c r="K71" s="25">
        <v>0</v>
      </c>
      <c r="L71" s="25">
        <f>1210000</f>
        <v>1210000</v>
      </c>
      <c r="M71" s="25">
        <v>0</v>
      </c>
      <c r="N71" s="25">
        <v>0</v>
      </c>
      <c r="O71" s="25">
        <f t="shared" si="3"/>
        <v>1210000</v>
      </c>
      <c r="P71" s="25">
        <v>1150092.48</v>
      </c>
      <c r="Q71" s="25">
        <v>1150092.48</v>
      </c>
      <c r="R71" s="25">
        <v>833576.48</v>
      </c>
      <c r="S71" s="25"/>
      <c r="T71" s="25"/>
      <c r="U71" s="25"/>
      <c r="V71" s="25"/>
      <c r="W71" s="25"/>
      <c r="X71" s="26"/>
    </row>
    <row r="72" spans="1:252" s="27" customFormat="1" ht="36" customHeight="1" x14ac:dyDescent="0.2">
      <c r="A72" s="21" t="s">
        <v>99</v>
      </c>
      <c r="B72" s="22" t="s">
        <v>100</v>
      </c>
      <c r="C72" s="29" t="s">
        <v>70</v>
      </c>
      <c r="D72" s="29" t="s">
        <v>112</v>
      </c>
      <c r="E72" s="28" t="s">
        <v>49</v>
      </c>
      <c r="F72" s="28" t="s">
        <v>113</v>
      </c>
      <c r="G72" s="29" t="s">
        <v>42</v>
      </c>
      <c r="H72" s="29" t="s">
        <v>103</v>
      </c>
      <c r="I72" s="28" t="s">
        <v>104</v>
      </c>
      <c r="J72" s="29" t="s">
        <v>51</v>
      </c>
      <c r="K72" s="30">
        <v>405370</v>
      </c>
      <c r="L72" s="30">
        <v>0</v>
      </c>
      <c r="M72" s="30">
        <v>0</v>
      </c>
      <c r="N72" s="30">
        <v>0</v>
      </c>
      <c r="O72" s="25">
        <f t="shared" si="3"/>
        <v>405370</v>
      </c>
      <c r="P72" s="30"/>
      <c r="Q72" s="30"/>
      <c r="R72" s="30"/>
      <c r="S72" s="30">
        <v>405106.24</v>
      </c>
      <c r="T72" s="30">
        <v>405106.24</v>
      </c>
      <c r="U72" s="30">
        <v>405106.24</v>
      </c>
      <c r="V72" s="30"/>
      <c r="W72" s="30"/>
      <c r="X72" s="31"/>
    </row>
    <row r="73" spans="1:252" s="27" customFormat="1" ht="36" customHeight="1" x14ac:dyDescent="0.2">
      <c r="A73" s="21" t="s">
        <v>99</v>
      </c>
      <c r="B73" s="22" t="s">
        <v>100</v>
      </c>
      <c r="C73" s="29" t="s">
        <v>70</v>
      </c>
      <c r="D73" s="29" t="s">
        <v>112</v>
      </c>
      <c r="E73" s="28" t="s">
        <v>49</v>
      </c>
      <c r="F73" s="28" t="s">
        <v>113</v>
      </c>
      <c r="G73" s="29" t="s">
        <v>42</v>
      </c>
      <c r="H73" s="29" t="s">
        <v>54</v>
      </c>
      <c r="I73" s="28" t="s">
        <v>55</v>
      </c>
      <c r="J73" s="29" t="s">
        <v>51</v>
      </c>
      <c r="K73" s="30">
        <v>0</v>
      </c>
      <c r="L73" s="30">
        <v>250000</v>
      </c>
      <c r="M73" s="30">
        <v>0</v>
      </c>
      <c r="N73" s="30">
        <v>0</v>
      </c>
      <c r="O73" s="25">
        <f t="shared" si="3"/>
        <v>250000</v>
      </c>
      <c r="P73" s="30"/>
      <c r="Q73" s="30"/>
      <c r="R73" s="30"/>
      <c r="S73" s="30">
        <v>249999.2</v>
      </c>
      <c r="T73" s="30">
        <v>249999.2</v>
      </c>
      <c r="U73" s="30">
        <v>142431.20000000001</v>
      </c>
      <c r="V73" s="30"/>
      <c r="W73" s="30"/>
      <c r="X73" s="31"/>
    </row>
    <row r="74" spans="1:252" s="27" customFormat="1" ht="36" customHeight="1" x14ac:dyDescent="0.2">
      <c r="A74" s="21" t="s">
        <v>99</v>
      </c>
      <c r="B74" s="22" t="s">
        <v>100</v>
      </c>
      <c r="C74" s="29" t="s">
        <v>70</v>
      </c>
      <c r="D74" s="29" t="s">
        <v>114</v>
      </c>
      <c r="E74" s="28" t="s">
        <v>49</v>
      </c>
      <c r="F74" s="28" t="s">
        <v>115</v>
      </c>
      <c r="G74" s="29" t="s">
        <v>42</v>
      </c>
      <c r="H74" s="29" t="s">
        <v>103</v>
      </c>
      <c r="I74" s="28" t="s">
        <v>104</v>
      </c>
      <c r="J74" s="29" t="s">
        <v>51</v>
      </c>
      <c r="K74" s="30">
        <v>1967135</v>
      </c>
      <c r="L74" s="30">
        <v>0</v>
      </c>
      <c r="M74" s="30">
        <v>0</v>
      </c>
      <c r="N74" s="30">
        <v>0</v>
      </c>
      <c r="O74" s="25">
        <f t="shared" si="3"/>
        <v>1967135</v>
      </c>
      <c r="P74" s="30"/>
      <c r="Q74" s="30"/>
      <c r="R74" s="30"/>
      <c r="S74" s="30"/>
      <c r="T74" s="30"/>
      <c r="U74" s="30"/>
      <c r="V74" s="30">
        <v>1964863.44</v>
      </c>
      <c r="W74" s="30">
        <v>1964863.44</v>
      </c>
      <c r="X74" s="31">
        <v>1964863.44</v>
      </c>
    </row>
    <row r="75" spans="1:252" s="27" customFormat="1" ht="36" customHeight="1" x14ac:dyDescent="0.2">
      <c r="A75" s="21" t="s">
        <v>99</v>
      </c>
      <c r="B75" s="22" t="s">
        <v>100</v>
      </c>
      <c r="C75" s="29" t="s">
        <v>70</v>
      </c>
      <c r="D75" s="29" t="s">
        <v>114</v>
      </c>
      <c r="E75" s="28" t="s">
        <v>49</v>
      </c>
      <c r="F75" s="28" t="s">
        <v>115</v>
      </c>
      <c r="G75" s="29" t="s">
        <v>42</v>
      </c>
      <c r="H75" s="29" t="s">
        <v>54</v>
      </c>
      <c r="I75" s="28" t="s">
        <v>55</v>
      </c>
      <c r="J75" s="29" t="s">
        <v>51</v>
      </c>
      <c r="K75" s="30">
        <v>0</v>
      </c>
      <c r="L75" s="30">
        <v>980000</v>
      </c>
      <c r="M75" s="30">
        <v>0</v>
      </c>
      <c r="N75" s="30">
        <v>0</v>
      </c>
      <c r="O75" s="25">
        <f t="shared" si="3"/>
        <v>980000</v>
      </c>
      <c r="P75" s="30"/>
      <c r="Q75" s="30"/>
      <c r="R75" s="30"/>
      <c r="S75" s="30"/>
      <c r="T75" s="30"/>
      <c r="U75" s="30"/>
      <c r="V75" s="30">
        <v>979999.74</v>
      </c>
      <c r="W75" s="30">
        <v>979999.74</v>
      </c>
      <c r="X75" s="31">
        <v>551069.74</v>
      </c>
    </row>
    <row r="76" spans="1:252" s="7" customFormat="1" ht="36" customHeight="1" x14ac:dyDescent="0.2">
      <c r="A76" s="21" t="s">
        <v>99</v>
      </c>
      <c r="B76" s="22" t="s">
        <v>100</v>
      </c>
      <c r="C76" s="29" t="s">
        <v>77</v>
      </c>
      <c r="D76" s="29" t="s">
        <v>116</v>
      </c>
      <c r="E76" s="28" t="s">
        <v>49</v>
      </c>
      <c r="F76" s="28" t="s">
        <v>79</v>
      </c>
      <c r="G76" s="29" t="s">
        <v>42</v>
      </c>
      <c r="H76" s="29" t="s">
        <v>103</v>
      </c>
      <c r="I76" s="28" t="s">
        <v>104</v>
      </c>
      <c r="J76" s="29" t="s">
        <v>51</v>
      </c>
      <c r="K76" s="30">
        <v>21903637</v>
      </c>
      <c r="L76" s="30">
        <v>0</v>
      </c>
      <c r="M76" s="30">
        <v>0</v>
      </c>
      <c r="N76" s="30">
        <v>0</v>
      </c>
      <c r="O76" s="25">
        <f t="shared" si="3"/>
        <v>21903637</v>
      </c>
      <c r="P76" s="30">
        <v>21902867.420000002</v>
      </c>
      <c r="Q76" s="30">
        <v>21902867.420000002</v>
      </c>
      <c r="R76" s="30">
        <v>21902867.420000002</v>
      </c>
      <c r="S76" s="30"/>
      <c r="T76" s="30"/>
      <c r="U76" s="30"/>
      <c r="V76" s="30"/>
      <c r="W76" s="30"/>
      <c r="X76" s="31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</row>
    <row r="77" spans="1:252" s="7" customFormat="1" ht="36" customHeight="1" x14ac:dyDescent="0.2">
      <c r="A77" s="21" t="s">
        <v>99</v>
      </c>
      <c r="B77" s="22" t="s">
        <v>100</v>
      </c>
      <c r="C77" s="29" t="s">
        <v>77</v>
      </c>
      <c r="D77" s="29" t="s">
        <v>116</v>
      </c>
      <c r="E77" s="28" t="s">
        <v>49</v>
      </c>
      <c r="F77" s="28" t="s">
        <v>79</v>
      </c>
      <c r="G77" s="29" t="s">
        <v>42</v>
      </c>
      <c r="H77" s="29" t="s">
        <v>54</v>
      </c>
      <c r="I77" s="28" t="s">
        <v>55</v>
      </c>
      <c r="J77" s="29" t="s">
        <v>51</v>
      </c>
      <c r="K77" s="30">
        <v>0</v>
      </c>
      <c r="L77" s="30">
        <v>2550000</v>
      </c>
      <c r="M77" s="30">
        <v>0</v>
      </c>
      <c r="N77" s="30">
        <v>0</v>
      </c>
      <c r="O77" s="25">
        <f t="shared" si="3"/>
        <v>2550000</v>
      </c>
      <c r="P77" s="30">
        <v>145839.07999999999</v>
      </c>
      <c r="Q77" s="30">
        <v>145839.07999999999</v>
      </c>
      <c r="R77" s="30">
        <v>145839.07999999999</v>
      </c>
      <c r="S77" s="30"/>
      <c r="T77" s="30"/>
      <c r="U77" s="30"/>
      <c r="V77" s="30"/>
      <c r="W77" s="30"/>
      <c r="X77" s="31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</row>
    <row r="78" spans="1:252" s="7" customFormat="1" ht="36" customHeight="1" x14ac:dyDescent="0.2">
      <c r="A78" s="21" t="s">
        <v>99</v>
      </c>
      <c r="B78" s="22" t="s">
        <v>100</v>
      </c>
      <c r="C78" s="29" t="s">
        <v>77</v>
      </c>
      <c r="D78" s="29" t="s">
        <v>117</v>
      </c>
      <c r="E78" s="28" t="s">
        <v>49</v>
      </c>
      <c r="F78" s="28" t="s">
        <v>81</v>
      </c>
      <c r="G78" s="29" t="s">
        <v>42</v>
      </c>
      <c r="H78" s="29" t="s">
        <v>103</v>
      </c>
      <c r="I78" s="28" t="s">
        <v>104</v>
      </c>
      <c r="J78" s="29" t="s">
        <v>51</v>
      </c>
      <c r="K78" s="30">
        <v>1450000</v>
      </c>
      <c r="L78" s="30">
        <v>0</v>
      </c>
      <c r="M78" s="30">
        <v>0</v>
      </c>
      <c r="N78" s="30">
        <v>0</v>
      </c>
      <c r="O78" s="25">
        <f t="shared" si="3"/>
        <v>1450000</v>
      </c>
      <c r="P78" s="30"/>
      <c r="Q78" s="30"/>
      <c r="R78" s="30"/>
      <c r="S78" s="30">
        <v>1087384.6299999999</v>
      </c>
      <c r="T78" s="30">
        <v>1087384.6299999999</v>
      </c>
      <c r="U78" s="30">
        <v>1087384.6299999999</v>
      </c>
      <c r="V78" s="30"/>
      <c r="W78" s="30"/>
      <c r="X78" s="31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</row>
    <row r="79" spans="1:252" s="7" customFormat="1" ht="36" customHeight="1" x14ac:dyDescent="0.2">
      <c r="A79" s="21" t="s">
        <v>99</v>
      </c>
      <c r="B79" s="22" t="s">
        <v>100</v>
      </c>
      <c r="C79" s="29" t="s">
        <v>77</v>
      </c>
      <c r="D79" s="29" t="s">
        <v>118</v>
      </c>
      <c r="E79" s="28" t="s">
        <v>49</v>
      </c>
      <c r="F79" s="28" t="s">
        <v>83</v>
      </c>
      <c r="G79" s="29" t="s">
        <v>42</v>
      </c>
      <c r="H79" s="29" t="s">
        <v>52</v>
      </c>
      <c r="I79" s="28" t="s">
        <v>53</v>
      </c>
      <c r="J79" s="29" t="s">
        <v>51</v>
      </c>
      <c r="K79" s="30">
        <v>6408077</v>
      </c>
      <c r="L79" s="30">
        <v>0</v>
      </c>
      <c r="M79" s="30">
        <v>0</v>
      </c>
      <c r="N79" s="30">
        <v>0</v>
      </c>
      <c r="O79" s="25">
        <f t="shared" si="3"/>
        <v>6408077</v>
      </c>
      <c r="P79" s="30"/>
      <c r="Q79" s="30"/>
      <c r="R79" s="30"/>
      <c r="S79" s="30"/>
      <c r="T79" s="30"/>
      <c r="U79" s="30"/>
      <c r="V79" s="30">
        <v>3998952.23</v>
      </c>
      <c r="W79" s="30">
        <v>3998952.23</v>
      </c>
      <c r="X79" s="31">
        <v>3998952.23</v>
      </c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</row>
    <row r="80" spans="1:252" s="7" customFormat="1" ht="21" customHeight="1" thickBot="1" x14ac:dyDescent="0.25">
      <c r="A80" s="118" t="s">
        <v>119</v>
      </c>
      <c r="B80" s="119"/>
      <c r="C80" s="119"/>
      <c r="D80" s="119"/>
      <c r="E80" s="119"/>
      <c r="F80" s="119"/>
      <c r="G80" s="119"/>
      <c r="H80" s="119"/>
      <c r="I80" s="119"/>
      <c r="J80" s="120"/>
      <c r="K80" s="43">
        <f>SUM(K63:K79)</f>
        <v>46341837</v>
      </c>
      <c r="L80" s="43">
        <f t="shared" ref="L80:X80" si="4">SUM(L63:L79)</f>
        <v>6295000</v>
      </c>
      <c r="M80" s="43">
        <f t="shared" si="4"/>
        <v>0</v>
      </c>
      <c r="N80" s="43">
        <f t="shared" si="4"/>
        <v>0</v>
      </c>
      <c r="O80" s="43">
        <f t="shared" si="4"/>
        <v>52636837</v>
      </c>
      <c r="P80" s="43">
        <f t="shared" si="4"/>
        <v>37367526.189999998</v>
      </c>
      <c r="Q80" s="43">
        <f t="shared" si="4"/>
        <v>37367526.189999998</v>
      </c>
      <c r="R80" s="43">
        <f t="shared" si="4"/>
        <v>37051010.189999998</v>
      </c>
      <c r="S80" s="43">
        <f t="shared" si="4"/>
        <v>2113047.58</v>
      </c>
      <c r="T80" s="43">
        <f t="shared" si="4"/>
        <v>2113047.58</v>
      </c>
      <c r="U80" s="43">
        <f t="shared" si="4"/>
        <v>2005479.5799999998</v>
      </c>
      <c r="V80" s="43">
        <f t="shared" si="4"/>
        <v>7399144.0299999993</v>
      </c>
      <c r="W80" s="43">
        <f t="shared" si="4"/>
        <v>7399144.0299999993</v>
      </c>
      <c r="X80" s="44">
        <f t="shared" si="4"/>
        <v>6970214.0299999993</v>
      </c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</row>
    <row r="81" spans="1:252" s="7" customFormat="1" ht="21" customHeight="1" thickBot="1" x14ac:dyDescent="0.25">
      <c r="A81" s="106" t="s">
        <v>120</v>
      </c>
      <c r="B81" s="107"/>
      <c r="C81" s="107"/>
      <c r="D81" s="107"/>
      <c r="E81" s="107"/>
      <c r="F81" s="107"/>
      <c r="G81" s="107"/>
      <c r="H81" s="107"/>
      <c r="I81" s="107"/>
      <c r="J81" s="108"/>
      <c r="K81" s="45">
        <f>K62+K80</f>
        <v>1040129971</v>
      </c>
      <c r="L81" s="45">
        <f t="shared" ref="L81:X81" si="5">L62+L80</f>
        <v>46446026.999999993</v>
      </c>
      <c r="M81" s="45">
        <f t="shared" si="5"/>
        <v>0</v>
      </c>
      <c r="N81" s="45">
        <f t="shared" si="5"/>
        <v>-2320632.9000000004</v>
      </c>
      <c r="O81" s="45">
        <f t="shared" si="5"/>
        <v>1084255365.0999999</v>
      </c>
      <c r="P81" s="45">
        <f t="shared" si="5"/>
        <v>768600443.42999983</v>
      </c>
      <c r="Q81" s="45">
        <f t="shared" si="5"/>
        <v>768600443.42999983</v>
      </c>
      <c r="R81" s="45">
        <f t="shared" si="5"/>
        <v>759855356.58999991</v>
      </c>
      <c r="S81" s="45">
        <f t="shared" si="5"/>
        <v>99123639.909999996</v>
      </c>
      <c r="T81" s="45">
        <f t="shared" si="5"/>
        <v>99123639.909999996</v>
      </c>
      <c r="U81" s="45">
        <f t="shared" si="5"/>
        <v>98084556.289999992</v>
      </c>
      <c r="V81" s="45">
        <f t="shared" si="5"/>
        <v>194944338.94</v>
      </c>
      <c r="W81" s="45">
        <f t="shared" si="5"/>
        <v>194944338.94</v>
      </c>
      <c r="X81" s="46">
        <f t="shared" si="5"/>
        <v>191912176.28999999</v>
      </c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</row>
    <row r="82" spans="1:252" s="7" customFormat="1" ht="12" customHeight="1" thickBo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9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</row>
    <row r="83" spans="1:252" s="7" customFormat="1" ht="21" customHeight="1" x14ac:dyDescent="0.2">
      <c r="A83" s="115" t="s">
        <v>121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7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</row>
    <row r="84" spans="1:252" s="7" customFormat="1" ht="36" customHeight="1" x14ac:dyDescent="0.2">
      <c r="A84" s="21" t="s">
        <v>36</v>
      </c>
      <c r="B84" s="22" t="s">
        <v>37</v>
      </c>
      <c r="C84" s="23" t="s">
        <v>38</v>
      </c>
      <c r="D84" s="23" t="s">
        <v>122</v>
      </c>
      <c r="E84" s="22" t="s">
        <v>40</v>
      </c>
      <c r="F84" s="28" t="s">
        <v>123</v>
      </c>
      <c r="G84" s="23" t="s">
        <v>42</v>
      </c>
      <c r="H84" s="29" t="s">
        <v>124</v>
      </c>
      <c r="I84" s="50" t="s">
        <v>125</v>
      </c>
      <c r="J84" s="23" t="s">
        <v>51</v>
      </c>
      <c r="K84" s="51">
        <v>0</v>
      </c>
      <c r="L84" s="51">
        <f>1920902.9</f>
        <v>1920902.9</v>
      </c>
      <c r="M84" s="51">
        <v>0</v>
      </c>
      <c r="N84" s="51">
        <v>0</v>
      </c>
      <c r="O84" s="51">
        <f t="shared" ref="O84:O86" si="6">K84+L84+M84+N84</f>
        <v>1920902.9</v>
      </c>
      <c r="P84" s="51"/>
      <c r="Q84" s="51"/>
      <c r="R84" s="51"/>
      <c r="S84" s="51"/>
      <c r="T84" s="51"/>
      <c r="U84" s="51"/>
      <c r="V84" s="51">
        <v>970797.03</v>
      </c>
      <c r="W84" s="51">
        <v>970797.03</v>
      </c>
      <c r="X84" s="52">
        <v>515547.03</v>
      </c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</row>
    <row r="85" spans="1:252" s="7" customFormat="1" ht="36" customHeight="1" x14ac:dyDescent="0.2">
      <c r="A85" s="21" t="s">
        <v>36</v>
      </c>
      <c r="B85" s="22" t="s">
        <v>37</v>
      </c>
      <c r="C85" s="23" t="s">
        <v>38</v>
      </c>
      <c r="D85" s="23" t="s">
        <v>122</v>
      </c>
      <c r="E85" s="22" t="s">
        <v>40</v>
      </c>
      <c r="F85" s="28" t="s">
        <v>123</v>
      </c>
      <c r="G85" s="23" t="s">
        <v>42</v>
      </c>
      <c r="H85" s="23" t="s">
        <v>126</v>
      </c>
      <c r="I85" s="53" t="s">
        <v>127</v>
      </c>
      <c r="J85" s="23" t="s">
        <v>51</v>
      </c>
      <c r="K85" s="51">
        <v>0</v>
      </c>
      <c r="L85" s="51">
        <f>544828.6</f>
        <v>544828.6</v>
      </c>
      <c r="M85" s="51">
        <v>0</v>
      </c>
      <c r="N85" s="51">
        <v>0</v>
      </c>
      <c r="O85" s="51">
        <f t="shared" si="6"/>
        <v>544828.6</v>
      </c>
      <c r="P85" s="51"/>
      <c r="Q85" s="51"/>
      <c r="R85" s="51"/>
      <c r="S85" s="51"/>
      <c r="T85" s="51"/>
      <c r="U85" s="51"/>
      <c r="V85" s="51">
        <v>0</v>
      </c>
      <c r="W85" s="51">
        <v>0</v>
      </c>
      <c r="X85" s="52">
        <v>0</v>
      </c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</row>
    <row r="86" spans="1:252" s="7" customFormat="1" ht="36" customHeight="1" x14ac:dyDescent="0.2">
      <c r="A86" s="21" t="s">
        <v>36</v>
      </c>
      <c r="B86" s="22" t="s">
        <v>37</v>
      </c>
      <c r="C86" s="23" t="s">
        <v>38</v>
      </c>
      <c r="D86" s="23" t="s">
        <v>122</v>
      </c>
      <c r="E86" s="22" t="s">
        <v>40</v>
      </c>
      <c r="F86" s="28" t="s">
        <v>123</v>
      </c>
      <c r="G86" s="23" t="s">
        <v>42</v>
      </c>
      <c r="H86" s="23" t="s">
        <v>126</v>
      </c>
      <c r="I86" s="53" t="s">
        <v>127</v>
      </c>
      <c r="J86" s="23" t="s">
        <v>128</v>
      </c>
      <c r="K86" s="51">
        <v>0</v>
      </c>
      <c r="L86" s="51">
        <f>2560961.6</f>
        <v>2560961.6</v>
      </c>
      <c r="M86" s="51">
        <v>0</v>
      </c>
      <c r="N86" s="51">
        <v>0</v>
      </c>
      <c r="O86" s="51">
        <f t="shared" si="6"/>
        <v>2560961.6</v>
      </c>
      <c r="P86" s="51"/>
      <c r="Q86" s="51"/>
      <c r="R86" s="51"/>
      <c r="S86" s="51"/>
      <c r="T86" s="51"/>
      <c r="U86" s="51"/>
      <c r="V86" s="51">
        <v>0</v>
      </c>
      <c r="W86" s="51">
        <v>0</v>
      </c>
      <c r="X86" s="52">
        <v>0</v>
      </c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</row>
    <row r="87" spans="1:252" s="7" customFormat="1" ht="36" customHeight="1" x14ac:dyDescent="0.2">
      <c r="A87" s="21" t="s">
        <v>36</v>
      </c>
      <c r="B87" s="22" t="s">
        <v>37</v>
      </c>
      <c r="C87" s="23" t="s">
        <v>47</v>
      </c>
      <c r="D87" s="23" t="s">
        <v>129</v>
      </c>
      <c r="E87" s="22" t="s">
        <v>49</v>
      </c>
      <c r="F87" s="22" t="s">
        <v>130</v>
      </c>
      <c r="G87" s="23" t="s">
        <v>42</v>
      </c>
      <c r="H87" s="23" t="s">
        <v>43</v>
      </c>
      <c r="I87" s="22" t="s">
        <v>44</v>
      </c>
      <c r="J87" s="23" t="s">
        <v>51</v>
      </c>
      <c r="K87" s="51">
        <v>9939895</v>
      </c>
      <c r="L87" s="51">
        <f>770000</f>
        <v>770000</v>
      </c>
      <c r="M87" s="51">
        <v>0</v>
      </c>
      <c r="N87" s="51">
        <f>-10707500.67</f>
        <v>-10707500.67</v>
      </c>
      <c r="O87" s="51">
        <f>K87+L87+M87+N87</f>
        <v>2394.3300000000745</v>
      </c>
      <c r="P87" s="51"/>
      <c r="Q87" s="51"/>
      <c r="R87" s="51"/>
      <c r="S87" s="51"/>
      <c r="T87" s="51"/>
      <c r="U87" s="51"/>
      <c r="V87" s="51">
        <v>0</v>
      </c>
      <c r="W87" s="51">
        <v>0</v>
      </c>
      <c r="X87" s="52">
        <v>0</v>
      </c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</row>
    <row r="88" spans="1:252" s="7" customFormat="1" ht="36" customHeight="1" x14ac:dyDescent="0.2">
      <c r="A88" s="21" t="s">
        <v>36</v>
      </c>
      <c r="B88" s="22" t="s">
        <v>37</v>
      </c>
      <c r="C88" s="23" t="s">
        <v>47</v>
      </c>
      <c r="D88" s="23" t="s">
        <v>129</v>
      </c>
      <c r="E88" s="22" t="s">
        <v>49</v>
      </c>
      <c r="F88" s="22" t="s">
        <v>130</v>
      </c>
      <c r="G88" s="23" t="s">
        <v>42</v>
      </c>
      <c r="H88" s="29" t="s">
        <v>54</v>
      </c>
      <c r="I88" s="28" t="s">
        <v>55</v>
      </c>
      <c r="J88" s="29" t="s">
        <v>51</v>
      </c>
      <c r="K88" s="54">
        <v>0</v>
      </c>
      <c r="L88" s="54">
        <f>750000</f>
        <v>750000</v>
      </c>
      <c r="M88" s="54">
        <v>0</v>
      </c>
      <c r="N88" s="54">
        <f>-198129.93</f>
        <v>-198129.93</v>
      </c>
      <c r="O88" s="51">
        <f>K88+L88+M88+N88</f>
        <v>551870.07000000007</v>
      </c>
      <c r="P88" s="54"/>
      <c r="Q88" s="54"/>
      <c r="R88" s="54"/>
      <c r="S88" s="54"/>
      <c r="T88" s="54"/>
      <c r="U88" s="54"/>
      <c r="V88" s="54">
        <v>0</v>
      </c>
      <c r="W88" s="54">
        <v>0</v>
      </c>
      <c r="X88" s="55">
        <v>0</v>
      </c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</row>
    <row r="89" spans="1:252" s="7" customFormat="1" ht="21.75" customHeight="1" x14ac:dyDescent="0.2">
      <c r="A89" s="118" t="s">
        <v>131</v>
      </c>
      <c r="B89" s="119"/>
      <c r="C89" s="119"/>
      <c r="D89" s="119"/>
      <c r="E89" s="119"/>
      <c r="F89" s="119"/>
      <c r="G89" s="119"/>
      <c r="H89" s="119"/>
      <c r="I89" s="119"/>
      <c r="J89" s="120"/>
      <c r="K89" s="56">
        <f>SUM(K84:K88)</f>
        <v>9939895</v>
      </c>
      <c r="L89" s="56">
        <f t="shared" ref="L89:X89" si="7">SUM(L84:L88)</f>
        <v>6546693.0999999996</v>
      </c>
      <c r="M89" s="56">
        <f t="shared" si="7"/>
        <v>0</v>
      </c>
      <c r="N89" s="56">
        <f t="shared" si="7"/>
        <v>-10905630.6</v>
      </c>
      <c r="O89" s="56">
        <f t="shared" si="7"/>
        <v>5580957.5</v>
      </c>
      <c r="P89" s="56">
        <f t="shared" si="7"/>
        <v>0</v>
      </c>
      <c r="Q89" s="56">
        <f t="shared" si="7"/>
        <v>0</v>
      </c>
      <c r="R89" s="56">
        <f t="shared" si="7"/>
        <v>0</v>
      </c>
      <c r="S89" s="56">
        <f t="shared" si="7"/>
        <v>0</v>
      </c>
      <c r="T89" s="56">
        <f t="shared" si="7"/>
        <v>0</v>
      </c>
      <c r="U89" s="56">
        <f t="shared" si="7"/>
        <v>0</v>
      </c>
      <c r="V89" s="56">
        <f t="shared" si="7"/>
        <v>970797.03</v>
      </c>
      <c r="W89" s="56">
        <f t="shared" si="7"/>
        <v>970797.03</v>
      </c>
      <c r="X89" s="57">
        <f t="shared" si="7"/>
        <v>515547.03</v>
      </c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</row>
    <row r="90" spans="1:252" s="7" customFormat="1" ht="36" customHeight="1" x14ac:dyDescent="0.2">
      <c r="A90" s="21" t="s">
        <v>99</v>
      </c>
      <c r="B90" s="22" t="s">
        <v>100</v>
      </c>
      <c r="C90" s="23" t="s">
        <v>38</v>
      </c>
      <c r="D90" s="23" t="s">
        <v>132</v>
      </c>
      <c r="E90" s="22" t="s">
        <v>40</v>
      </c>
      <c r="F90" s="22" t="s">
        <v>133</v>
      </c>
      <c r="G90" s="58" t="s">
        <v>42</v>
      </c>
      <c r="H90" s="58" t="s">
        <v>43</v>
      </c>
      <c r="I90" s="59" t="s">
        <v>44</v>
      </c>
      <c r="J90" s="58" t="s">
        <v>128</v>
      </c>
      <c r="K90" s="60">
        <v>20000</v>
      </c>
      <c r="L90" s="51">
        <v>-20000</v>
      </c>
      <c r="M90" s="51">
        <v>0</v>
      </c>
      <c r="N90" s="51">
        <v>0</v>
      </c>
      <c r="O90" s="51">
        <f t="shared" ref="O90:O232" si="8">K90+L90+M90+N90</f>
        <v>0</v>
      </c>
      <c r="P90" s="51">
        <v>0</v>
      </c>
      <c r="Q90" s="51">
        <v>0</v>
      </c>
      <c r="R90" s="51">
        <v>0</v>
      </c>
      <c r="S90" s="51"/>
      <c r="T90" s="51"/>
      <c r="U90" s="51"/>
      <c r="V90" s="51"/>
      <c r="W90" s="51"/>
      <c r="X90" s="52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</row>
    <row r="91" spans="1:252" s="7" customFormat="1" ht="36" customHeight="1" x14ac:dyDescent="0.2">
      <c r="A91" s="21" t="s">
        <v>99</v>
      </c>
      <c r="B91" s="22" t="s">
        <v>100</v>
      </c>
      <c r="C91" s="23" t="s">
        <v>38</v>
      </c>
      <c r="D91" s="23" t="s">
        <v>132</v>
      </c>
      <c r="E91" s="22" t="s">
        <v>40</v>
      </c>
      <c r="F91" s="22" t="s">
        <v>133</v>
      </c>
      <c r="G91" s="29" t="s">
        <v>42</v>
      </c>
      <c r="H91" s="29" t="s">
        <v>134</v>
      </c>
      <c r="I91" s="28" t="s">
        <v>135</v>
      </c>
      <c r="J91" s="29" t="s">
        <v>51</v>
      </c>
      <c r="K91" s="61">
        <v>0</v>
      </c>
      <c r="L91" s="51">
        <v>343579.16</v>
      </c>
      <c r="M91" s="51">
        <v>0</v>
      </c>
      <c r="N91" s="51">
        <v>0</v>
      </c>
      <c r="O91" s="51">
        <f t="shared" si="8"/>
        <v>343579.16</v>
      </c>
      <c r="P91" s="51">
        <v>292579.15999999997</v>
      </c>
      <c r="Q91" s="51">
        <v>292579.15999999997</v>
      </c>
      <c r="R91" s="51">
        <v>292579.15999999997</v>
      </c>
      <c r="S91" s="51"/>
      <c r="T91" s="51"/>
      <c r="U91" s="51"/>
      <c r="V91" s="51"/>
      <c r="W91" s="51"/>
      <c r="X91" s="52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</row>
    <row r="92" spans="1:252" s="7" customFormat="1" ht="36" customHeight="1" x14ac:dyDescent="0.2">
      <c r="A92" s="21" t="s">
        <v>99</v>
      </c>
      <c r="B92" s="22" t="s">
        <v>100</v>
      </c>
      <c r="C92" s="23" t="s">
        <v>38</v>
      </c>
      <c r="D92" s="23" t="s">
        <v>132</v>
      </c>
      <c r="E92" s="22" t="s">
        <v>40</v>
      </c>
      <c r="F92" s="22" t="s">
        <v>133</v>
      </c>
      <c r="G92" s="29" t="s">
        <v>42</v>
      </c>
      <c r="H92" s="29" t="s">
        <v>134</v>
      </c>
      <c r="I92" s="28" t="s">
        <v>135</v>
      </c>
      <c r="J92" s="29" t="s">
        <v>128</v>
      </c>
      <c r="K92" s="61">
        <v>0</v>
      </c>
      <c r="L92" s="51">
        <f>4104436.07-322579.16</f>
        <v>3781856.9099999997</v>
      </c>
      <c r="M92" s="51">
        <v>0</v>
      </c>
      <c r="N92" s="51">
        <v>0</v>
      </c>
      <c r="O92" s="51">
        <f t="shared" si="8"/>
        <v>3781856.9099999997</v>
      </c>
      <c r="P92" s="51">
        <v>3115241.2</v>
      </c>
      <c r="Q92" s="51">
        <v>3115241.2</v>
      </c>
      <c r="R92" s="51">
        <v>2360444.29</v>
      </c>
      <c r="S92" s="51"/>
      <c r="T92" s="51"/>
      <c r="U92" s="51"/>
      <c r="V92" s="51"/>
      <c r="W92" s="51"/>
      <c r="X92" s="52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</row>
    <row r="93" spans="1:252" s="7" customFormat="1" ht="36" customHeight="1" x14ac:dyDescent="0.2">
      <c r="A93" s="21" t="s">
        <v>99</v>
      </c>
      <c r="B93" s="22" t="s">
        <v>100</v>
      </c>
      <c r="C93" s="23" t="s">
        <v>38</v>
      </c>
      <c r="D93" s="23" t="s">
        <v>132</v>
      </c>
      <c r="E93" s="22" t="s">
        <v>40</v>
      </c>
      <c r="F93" s="22" t="s">
        <v>133</v>
      </c>
      <c r="G93" s="29" t="s">
        <v>42</v>
      </c>
      <c r="H93" s="29" t="s">
        <v>103</v>
      </c>
      <c r="I93" s="28" t="s">
        <v>104</v>
      </c>
      <c r="J93" s="29" t="s">
        <v>51</v>
      </c>
      <c r="K93" s="61">
        <v>304765</v>
      </c>
      <c r="L93" s="51">
        <v>-179000</v>
      </c>
      <c r="M93" s="51">
        <v>0</v>
      </c>
      <c r="N93" s="51">
        <v>0</v>
      </c>
      <c r="O93" s="51">
        <f t="shared" si="8"/>
        <v>125765</v>
      </c>
      <c r="P93" s="51">
        <v>110190.76</v>
      </c>
      <c r="Q93" s="51">
        <v>110190.76</v>
      </c>
      <c r="R93" s="51">
        <v>110190.76</v>
      </c>
      <c r="S93" s="51"/>
      <c r="T93" s="51"/>
      <c r="U93" s="51"/>
      <c r="V93" s="51"/>
      <c r="W93" s="51"/>
      <c r="X93" s="52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</row>
    <row r="94" spans="1:252" s="7" customFormat="1" ht="36" customHeight="1" x14ac:dyDescent="0.2">
      <c r="A94" s="21" t="s">
        <v>99</v>
      </c>
      <c r="B94" s="22" t="s">
        <v>100</v>
      </c>
      <c r="C94" s="23" t="s">
        <v>38</v>
      </c>
      <c r="D94" s="23" t="s">
        <v>132</v>
      </c>
      <c r="E94" s="22" t="s">
        <v>40</v>
      </c>
      <c r="F94" s="22" t="s">
        <v>133</v>
      </c>
      <c r="G94" s="29" t="s">
        <v>42</v>
      </c>
      <c r="H94" s="62" t="s">
        <v>136</v>
      </c>
      <c r="I94" s="63" t="s">
        <v>137</v>
      </c>
      <c r="J94" s="29" t="s">
        <v>128</v>
      </c>
      <c r="K94" s="61">
        <v>0</v>
      </c>
      <c r="L94" s="51">
        <f>10000-10000</f>
        <v>0</v>
      </c>
      <c r="M94" s="51">
        <v>0</v>
      </c>
      <c r="N94" s="51">
        <v>0</v>
      </c>
      <c r="O94" s="51">
        <f t="shared" si="8"/>
        <v>0</v>
      </c>
      <c r="P94" s="51">
        <v>0</v>
      </c>
      <c r="Q94" s="51">
        <v>0</v>
      </c>
      <c r="R94" s="51">
        <v>0</v>
      </c>
      <c r="S94" s="51"/>
      <c r="T94" s="51"/>
      <c r="U94" s="51"/>
      <c r="V94" s="51"/>
      <c r="W94" s="51"/>
      <c r="X94" s="52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  <c r="IR94" s="27"/>
    </row>
    <row r="95" spans="1:252" s="7" customFormat="1" ht="36" customHeight="1" x14ac:dyDescent="0.2">
      <c r="A95" s="21" t="s">
        <v>99</v>
      </c>
      <c r="B95" s="22" t="s">
        <v>100</v>
      </c>
      <c r="C95" s="29" t="s">
        <v>38</v>
      </c>
      <c r="D95" s="29" t="s">
        <v>138</v>
      </c>
      <c r="E95" s="28" t="s">
        <v>40</v>
      </c>
      <c r="F95" s="28" t="s">
        <v>139</v>
      </c>
      <c r="G95" s="29" t="s">
        <v>42</v>
      </c>
      <c r="H95" s="29" t="s">
        <v>103</v>
      </c>
      <c r="I95" s="28" t="s">
        <v>104</v>
      </c>
      <c r="J95" s="29" t="s">
        <v>51</v>
      </c>
      <c r="K95" s="61">
        <v>1018000</v>
      </c>
      <c r="L95" s="61">
        <v>490000</v>
      </c>
      <c r="M95" s="61">
        <v>0</v>
      </c>
      <c r="N95" s="61">
        <v>0</v>
      </c>
      <c r="O95" s="51">
        <f t="shared" si="8"/>
        <v>1508000</v>
      </c>
      <c r="P95" s="61">
        <v>1293467.6599999999</v>
      </c>
      <c r="Q95" s="61">
        <v>1293467.6599999999</v>
      </c>
      <c r="R95" s="61">
        <v>1292134.55</v>
      </c>
      <c r="S95" s="61"/>
      <c r="T95" s="61"/>
      <c r="U95" s="61"/>
      <c r="V95" s="61"/>
      <c r="W95" s="61"/>
      <c r="X95" s="64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</row>
    <row r="96" spans="1:252" s="7" customFormat="1" ht="36" customHeight="1" x14ac:dyDescent="0.2">
      <c r="A96" s="21" t="s">
        <v>99</v>
      </c>
      <c r="B96" s="22" t="s">
        <v>100</v>
      </c>
      <c r="C96" s="29" t="s">
        <v>38</v>
      </c>
      <c r="D96" s="29" t="s">
        <v>138</v>
      </c>
      <c r="E96" s="28" t="s">
        <v>40</v>
      </c>
      <c r="F96" s="28" t="s">
        <v>139</v>
      </c>
      <c r="G96" s="29" t="s">
        <v>42</v>
      </c>
      <c r="H96" s="62" t="s">
        <v>56</v>
      </c>
      <c r="I96" s="65" t="s">
        <v>57</v>
      </c>
      <c r="J96" s="29" t="s">
        <v>51</v>
      </c>
      <c r="K96" s="61">
        <v>0</v>
      </c>
      <c r="L96" s="61">
        <v>225000</v>
      </c>
      <c r="M96" s="61">
        <v>0</v>
      </c>
      <c r="N96" s="61">
        <v>0</v>
      </c>
      <c r="O96" s="51">
        <f t="shared" si="8"/>
        <v>225000</v>
      </c>
      <c r="P96" s="61">
        <v>219290.01</v>
      </c>
      <c r="Q96" s="61">
        <v>219290.01</v>
      </c>
      <c r="R96" s="61">
        <v>218913.05</v>
      </c>
      <c r="S96" s="61"/>
      <c r="T96" s="61"/>
      <c r="U96" s="61"/>
      <c r="V96" s="61"/>
      <c r="W96" s="61"/>
      <c r="X96" s="64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  <c r="IO96" s="27"/>
      <c r="IP96" s="27"/>
      <c r="IQ96" s="27"/>
      <c r="IR96" s="27"/>
    </row>
    <row r="97" spans="1:252" s="7" customFormat="1" ht="36" customHeight="1" x14ac:dyDescent="0.2">
      <c r="A97" s="21" t="s">
        <v>99</v>
      </c>
      <c r="B97" s="22" t="s">
        <v>100</v>
      </c>
      <c r="C97" s="29" t="s">
        <v>38</v>
      </c>
      <c r="D97" s="29" t="s">
        <v>138</v>
      </c>
      <c r="E97" s="28" t="s">
        <v>40</v>
      </c>
      <c r="F97" s="28" t="s">
        <v>139</v>
      </c>
      <c r="G97" s="29" t="s">
        <v>42</v>
      </c>
      <c r="H97" s="62" t="s">
        <v>136</v>
      </c>
      <c r="I97" s="63" t="s">
        <v>137</v>
      </c>
      <c r="J97" s="29" t="s">
        <v>51</v>
      </c>
      <c r="K97" s="61">
        <v>0</v>
      </c>
      <c r="L97" s="61">
        <v>50000</v>
      </c>
      <c r="M97" s="61">
        <v>0</v>
      </c>
      <c r="N97" s="61">
        <v>0</v>
      </c>
      <c r="O97" s="51">
        <f t="shared" si="8"/>
        <v>50000</v>
      </c>
      <c r="P97" s="61">
        <v>48200.36</v>
      </c>
      <c r="Q97" s="61">
        <v>48200.36</v>
      </c>
      <c r="R97" s="61">
        <v>48200.36</v>
      </c>
      <c r="S97" s="61"/>
      <c r="T97" s="61"/>
      <c r="U97" s="61"/>
      <c r="V97" s="61"/>
      <c r="W97" s="61"/>
      <c r="X97" s="64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7"/>
      <c r="IO97" s="27"/>
      <c r="IP97" s="27"/>
      <c r="IQ97" s="27"/>
      <c r="IR97" s="27"/>
    </row>
    <row r="98" spans="1:252" s="7" customFormat="1" ht="36" customHeight="1" x14ac:dyDescent="0.2">
      <c r="A98" s="21" t="s">
        <v>99</v>
      </c>
      <c r="B98" s="22" t="s">
        <v>100</v>
      </c>
      <c r="C98" s="29" t="s">
        <v>38</v>
      </c>
      <c r="D98" s="29" t="s">
        <v>140</v>
      </c>
      <c r="E98" s="28" t="s">
        <v>40</v>
      </c>
      <c r="F98" s="28" t="s">
        <v>141</v>
      </c>
      <c r="G98" s="29" t="s">
        <v>42</v>
      </c>
      <c r="H98" s="29" t="s">
        <v>103</v>
      </c>
      <c r="I98" s="28" t="s">
        <v>104</v>
      </c>
      <c r="J98" s="29" t="s">
        <v>51</v>
      </c>
      <c r="K98" s="61">
        <v>100000</v>
      </c>
      <c r="L98" s="61">
        <v>-40000</v>
      </c>
      <c r="M98" s="61">
        <v>0</v>
      </c>
      <c r="N98" s="61">
        <v>0</v>
      </c>
      <c r="O98" s="51">
        <f t="shared" si="8"/>
        <v>60000</v>
      </c>
      <c r="P98" s="61">
        <v>49060.6</v>
      </c>
      <c r="Q98" s="61">
        <v>49060.6</v>
      </c>
      <c r="R98" s="61">
        <v>49060.6</v>
      </c>
      <c r="S98" s="61"/>
      <c r="T98" s="61"/>
      <c r="U98" s="61"/>
      <c r="V98" s="61"/>
      <c r="W98" s="61"/>
      <c r="X98" s="64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27"/>
      <c r="IO98" s="27"/>
      <c r="IP98" s="27"/>
      <c r="IQ98" s="27"/>
      <c r="IR98" s="27"/>
    </row>
    <row r="99" spans="1:252" s="7" customFormat="1" ht="36" customHeight="1" x14ac:dyDescent="0.2">
      <c r="A99" s="21" t="s">
        <v>99</v>
      </c>
      <c r="B99" s="22" t="s">
        <v>100</v>
      </c>
      <c r="C99" s="29" t="s">
        <v>38</v>
      </c>
      <c r="D99" s="29" t="s">
        <v>142</v>
      </c>
      <c r="E99" s="28" t="s">
        <v>40</v>
      </c>
      <c r="F99" s="28" t="s">
        <v>143</v>
      </c>
      <c r="G99" s="29" t="s">
        <v>42</v>
      </c>
      <c r="H99" s="29" t="s">
        <v>103</v>
      </c>
      <c r="I99" s="28" t="s">
        <v>104</v>
      </c>
      <c r="J99" s="29" t="s">
        <v>51</v>
      </c>
      <c r="K99" s="61">
        <v>255000</v>
      </c>
      <c r="L99" s="61">
        <v>0</v>
      </c>
      <c r="M99" s="61">
        <v>0</v>
      </c>
      <c r="N99" s="61">
        <v>0</v>
      </c>
      <c r="O99" s="51">
        <f t="shared" si="8"/>
        <v>255000</v>
      </c>
      <c r="P99" s="61">
        <v>254570.1</v>
      </c>
      <c r="Q99" s="61">
        <v>254570.1</v>
      </c>
      <c r="R99" s="61">
        <v>254570.1</v>
      </c>
      <c r="S99" s="61"/>
      <c r="T99" s="61"/>
      <c r="U99" s="61"/>
      <c r="V99" s="61"/>
      <c r="W99" s="61"/>
      <c r="X99" s="64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  <c r="IN99" s="27"/>
      <c r="IO99" s="27"/>
      <c r="IP99" s="27"/>
      <c r="IQ99" s="27"/>
      <c r="IR99" s="27"/>
    </row>
    <row r="100" spans="1:252" s="7" customFormat="1" ht="36" customHeight="1" x14ac:dyDescent="0.2">
      <c r="A100" s="21" t="s">
        <v>99</v>
      </c>
      <c r="B100" s="22" t="s">
        <v>100</v>
      </c>
      <c r="C100" s="29" t="s">
        <v>38</v>
      </c>
      <c r="D100" s="29" t="s">
        <v>142</v>
      </c>
      <c r="E100" s="28" t="s">
        <v>40</v>
      </c>
      <c r="F100" s="28" t="s">
        <v>143</v>
      </c>
      <c r="G100" s="29" t="s">
        <v>42</v>
      </c>
      <c r="H100" s="62" t="s">
        <v>56</v>
      </c>
      <c r="I100" s="65" t="s">
        <v>57</v>
      </c>
      <c r="J100" s="29" t="s">
        <v>51</v>
      </c>
      <c r="K100" s="61">
        <v>0</v>
      </c>
      <c r="L100" s="51">
        <v>95000</v>
      </c>
      <c r="M100" s="51">
        <v>0</v>
      </c>
      <c r="N100" s="51">
        <v>0</v>
      </c>
      <c r="O100" s="51">
        <f t="shared" si="8"/>
        <v>95000</v>
      </c>
      <c r="P100" s="51">
        <v>94736.76</v>
      </c>
      <c r="Q100" s="51">
        <v>94736.76</v>
      </c>
      <c r="R100" s="51">
        <v>94736.76</v>
      </c>
      <c r="S100" s="51"/>
      <c r="T100" s="51"/>
      <c r="U100" s="51"/>
      <c r="V100" s="51"/>
      <c r="W100" s="51"/>
      <c r="X100" s="52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  <c r="IK100" s="27"/>
      <c r="IL100" s="27"/>
      <c r="IM100" s="27"/>
      <c r="IN100" s="27"/>
      <c r="IO100" s="27"/>
      <c r="IP100" s="27"/>
      <c r="IQ100" s="27"/>
      <c r="IR100" s="27"/>
    </row>
    <row r="101" spans="1:252" s="7" customFormat="1" ht="36" customHeight="1" x14ac:dyDescent="0.2">
      <c r="A101" s="21" t="s">
        <v>99</v>
      </c>
      <c r="B101" s="22" t="s">
        <v>100</v>
      </c>
      <c r="C101" s="29" t="s">
        <v>38</v>
      </c>
      <c r="D101" s="29" t="s">
        <v>142</v>
      </c>
      <c r="E101" s="28" t="s">
        <v>40</v>
      </c>
      <c r="F101" s="28" t="s">
        <v>143</v>
      </c>
      <c r="G101" s="29" t="s">
        <v>42</v>
      </c>
      <c r="H101" s="62" t="s">
        <v>136</v>
      </c>
      <c r="I101" s="63" t="s">
        <v>137</v>
      </c>
      <c r="J101" s="29" t="s">
        <v>51</v>
      </c>
      <c r="K101" s="61">
        <v>0</v>
      </c>
      <c r="L101" s="51">
        <v>140000</v>
      </c>
      <c r="M101" s="51">
        <v>0</v>
      </c>
      <c r="N101" s="51">
        <v>0</v>
      </c>
      <c r="O101" s="51">
        <f t="shared" si="8"/>
        <v>140000</v>
      </c>
      <c r="P101" s="51">
        <v>120578.21</v>
      </c>
      <c r="Q101" s="51">
        <v>120578.21</v>
      </c>
      <c r="R101" s="51">
        <v>120578.21</v>
      </c>
      <c r="S101" s="51"/>
      <c r="T101" s="51"/>
      <c r="U101" s="51"/>
      <c r="V101" s="51"/>
      <c r="W101" s="51"/>
      <c r="X101" s="52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  <c r="IF101" s="27"/>
      <c r="IG101" s="27"/>
      <c r="IH101" s="27"/>
      <c r="II101" s="27"/>
      <c r="IJ101" s="27"/>
      <c r="IK101" s="27"/>
      <c r="IL101" s="27"/>
      <c r="IM101" s="27"/>
      <c r="IN101" s="27"/>
      <c r="IO101" s="27"/>
      <c r="IP101" s="27"/>
      <c r="IQ101" s="27"/>
      <c r="IR101" s="27"/>
    </row>
    <row r="102" spans="1:252" s="7" customFormat="1" ht="36" customHeight="1" x14ac:dyDescent="0.2">
      <c r="A102" s="21" t="s">
        <v>99</v>
      </c>
      <c r="B102" s="22" t="s">
        <v>100</v>
      </c>
      <c r="C102" s="29" t="s">
        <v>38</v>
      </c>
      <c r="D102" s="29" t="s">
        <v>144</v>
      </c>
      <c r="E102" s="28" t="s">
        <v>40</v>
      </c>
      <c r="F102" s="28" t="s">
        <v>145</v>
      </c>
      <c r="G102" s="29" t="s">
        <v>42</v>
      </c>
      <c r="H102" s="29" t="s">
        <v>103</v>
      </c>
      <c r="I102" s="28" t="s">
        <v>104</v>
      </c>
      <c r="J102" s="29" t="s">
        <v>51</v>
      </c>
      <c r="K102" s="61">
        <v>95000</v>
      </c>
      <c r="L102" s="51">
        <v>20000</v>
      </c>
      <c r="M102" s="51">
        <v>0</v>
      </c>
      <c r="N102" s="51">
        <v>0</v>
      </c>
      <c r="O102" s="51">
        <f t="shared" si="8"/>
        <v>115000</v>
      </c>
      <c r="P102" s="51"/>
      <c r="Q102" s="51"/>
      <c r="R102" s="51"/>
      <c r="S102" s="51"/>
      <c r="T102" s="51"/>
      <c r="U102" s="51"/>
      <c r="V102" s="51">
        <v>113963.16</v>
      </c>
      <c r="W102" s="51">
        <v>113963.16</v>
      </c>
      <c r="X102" s="52">
        <v>113963.16</v>
      </c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  <c r="IF102" s="27"/>
      <c r="IG102" s="27"/>
      <c r="IH102" s="27"/>
      <c r="II102" s="27"/>
      <c r="IJ102" s="27"/>
      <c r="IK102" s="27"/>
      <c r="IL102" s="27"/>
      <c r="IM102" s="27"/>
      <c r="IN102" s="27"/>
      <c r="IO102" s="27"/>
      <c r="IP102" s="27"/>
      <c r="IQ102" s="27"/>
      <c r="IR102" s="27"/>
    </row>
    <row r="103" spans="1:252" s="7" customFormat="1" ht="36" customHeight="1" x14ac:dyDescent="0.2">
      <c r="A103" s="21" t="s">
        <v>99</v>
      </c>
      <c r="B103" s="22" t="s">
        <v>100</v>
      </c>
      <c r="C103" s="29" t="s">
        <v>38</v>
      </c>
      <c r="D103" s="29" t="s">
        <v>144</v>
      </c>
      <c r="E103" s="28" t="s">
        <v>40</v>
      </c>
      <c r="F103" s="28" t="s">
        <v>145</v>
      </c>
      <c r="G103" s="29" t="s">
        <v>42</v>
      </c>
      <c r="H103" s="62" t="s">
        <v>136</v>
      </c>
      <c r="I103" s="63" t="s">
        <v>137</v>
      </c>
      <c r="J103" s="29" t="s">
        <v>51</v>
      </c>
      <c r="K103" s="61">
        <v>0</v>
      </c>
      <c r="L103" s="51">
        <v>100000</v>
      </c>
      <c r="M103" s="51">
        <v>0</v>
      </c>
      <c r="N103" s="51">
        <v>0</v>
      </c>
      <c r="O103" s="51">
        <f t="shared" si="8"/>
        <v>100000</v>
      </c>
      <c r="P103" s="51"/>
      <c r="Q103" s="51"/>
      <c r="R103" s="51"/>
      <c r="S103" s="51"/>
      <c r="T103" s="51"/>
      <c r="U103" s="51"/>
      <c r="V103" s="51">
        <v>96312.45</v>
      </c>
      <c r="W103" s="51">
        <v>96312.45</v>
      </c>
      <c r="X103" s="52">
        <v>96312.45</v>
      </c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  <c r="IO103" s="27"/>
      <c r="IP103" s="27"/>
      <c r="IQ103" s="27"/>
      <c r="IR103" s="27"/>
    </row>
    <row r="104" spans="1:252" s="7" customFormat="1" ht="36" customHeight="1" x14ac:dyDescent="0.2">
      <c r="A104" s="21" t="s">
        <v>99</v>
      </c>
      <c r="B104" s="22" t="s">
        <v>100</v>
      </c>
      <c r="C104" s="29" t="s">
        <v>38</v>
      </c>
      <c r="D104" s="29" t="s">
        <v>146</v>
      </c>
      <c r="E104" s="28" t="s">
        <v>40</v>
      </c>
      <c r="F104" s="28" t="s">
        <v>147</v>
      </c>
      <c r="G104" s="29" t="s">
        <v>42</v>
      </c>
      <c r="H104" s="29" t="s">
        <v>103</v>
      </c>
      <c r="I104" s="28" t="s">
        <v>104</v>
      </c>
      <c r="J104" s="29" t="s">
        <v>51</v>
      </c>
      <c r="K104" s="61">
        <v>25000</v>
      </c>
      <c r="L104" s="51">
        <v>0</v>
      </c>
      <c r="M104" s="51">
        <v>0</v>
      </c>
      <c r="N104" s="51">
        <v>0</v>
      </c>
      <c r="O104" s="51">
        <f t="shared" si="8"/>
        <v>25000</v>
      </c>
      <c r="P104" s="51">
        <v>17638.27</v>
      </c>
      <c r="Q104" s="51">
        <v>17638.27</v>
      </c>
      <c r="R104" s="51">
        <v>17638.27</v>
      </c>
      <c r="S104" s="51"/>
      <c r="T104" s="51"/>
      <c r="U104" s="51"/>
      <c r="V104" s="51"/>
      <c r="W104" s="51"/>
      <c r="X104" s="52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  <c r="IO104" s="27"/>
      <c r="IP104" s="27"/>
      <c r="IQ104" s="27"/>
      <c r="IR104" s="27"/>
    </row>
    <row r="105" spans="1:252" s="7" customFormat="1" ht="36" customHeight="1" x14ac:dyDescent="0.2">
      <c r="A105" s="21" t="s">
        <v>99</v>
      </c>
      <c r="B105" s="22" t="s">
        <v>100</v>
      </c>
      <c r="C105" s="29" t="s">
        <v>38</v>
      </c>
      <c r="D105" s="29" t="s">
        <v>146</v>
      </c>
      <c r="E105" s="28" t="s">
        <v>40</v>
      </c>
      <c r="F105" s="28" t="s">
        <v>147</v>
      </c>
      <c r="G105" s="29" t="s">
        <v>42</v>
      </c>
      <c r="H105" s="62" t="s">
        <v>56</v>
      </c>
      <c r="I105" s="65" t="s">
        <v>57</v>
      </c>
      <c r="J105" s="29" t="s">
        <v>51</v>
      </c>
      <c r="K105" s="61">
        <v>0</v>
      </c>
      <c r="L105" s="51">
        <v>30000</v>
      </c>
      <c r="M105" s="51">
        <v>0</v>
      </c>
      <c r="N105" s="51">
        <v>0</v>
      </c>
      <c r="O105" s="51">
        <f t="shared" si="8"/>
        <v>30000</v>
      </c>
      <c r="P105" s="51">
        <v>1771.65</v>
      </c>
      <c r="Q105" s="51">
        <v>1771.65</v>
      </c>
      <c r="R105" s="51">
        <v>1771.65</v>
      </c>
      <c r="S105" s="51"/>
      <c r="T105" s="51"/>
      <c r="U105" s="51"/>
      <c r="V105" s="51"/>
      <c r="W105" s="51"/>
      <c r="X105" s="52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  <c r="IF105" s="27"/>
      <c r="IG105" s="27"/>
      <c r="IH105" s="27"/>
      <c r="II105" s="27"/>
      <c r="IJ105" s="27"/>
      <c r="IK105" s="27"/>
      <c r="IL105" s="27"/>
      <c r="IM105" s="27"/>
      <c r="IN105" s="27"/>
      <c r="IO105" s="27"/>
      <c r="IP105" s="27"/>
      <c r="IQ105" s="27"/>
      <c r="IR105" s="27"/>
    </row>
    <row r="106" spans="1:252" s="7" customFormat="1" ht="36" customHeight="1" x14ac:dyDescent="0.2">
      <c r="A106" s="21" t="s">
        <v>99</v>
      </c>
      <c r="B106" s="22" t="s">
        <v>100</v>
      </c>
      <c r="C106" s="29" t="s">
        <v>38</v>
      </c>
      <c r="D106" s="29" t="s">
        <v>148</v>
      </c>
      <c r="E106" s="28" t="s">
        <v>40</v>
      </c>
      <c r="F106" s="28" t="s">
        <v>149</v>
      </c>
      <c r="G106" s="29" t="s">
        <v>42</v>
      </c>
      <c r="H106" s="29" t="s">
        <v>103</v>
      </c>
      <c r="I106" s="28" t="s">
        <v>104</v>
      </c>
      <c r="J106" s="29" t="s">
        <v>51</v>
      </c>
      <c r="K106" s="61">
        <v>25000</v>
      </c>
      <c r="L106" s="51">
        <v>0</v>
      </c>
      <c r="M106" s="51">
        <v>0</v>
      </c>
      <c r="N106" s="51">
        <v>0</v>
      </c>
      <c r="O106" s="51">
        <f t="shared" si="8"/>
        <v>25000</v>
      </c>
      <c r="P106" s="51">
        <v>6518.59</v>
      </c>
      <c r="Q106" s="51">
        <v>6518.59</v>
      </c>
      <c r="R106" s="51">
        <v>6518.59</v>
      </c>
      <c r="S106" s="51"/>
      <c r="T106" s="51"/>
      <c r="U106" s="51"/>
      <c r="V106" s="51"/>
      <c r="W106" s="51"/>
      <c r="X106" s="52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  <c r="IF106" s="27"/>
      <c r="IG106" s="27"/>
      <c r="IH106" s="27"/>
      <c r="II106" s="27"/>
      <c r="IJ106" s="27"/>
      <c r="IK106" s="27"/>
      <c r="IL106" s="27"/>
      <c r="IM106" s="27"/>
      <c r="IN106" s="27"/>
      <c r="IO106" s="27"/>
      <c r="IP106" s="27"/>
      <c r="IQ106" s="27"/>
      <c r="IR106" s="27"/>
    </row>
    <row r="107" spans="1:252" s="7" customFormat="1" ht="36" customHeight="1" x14ac:dyDescent="0.2">
      <c r="A107" s="21" t="s">
        <v>99</v>
      </c>
      <c r="B107" s="22" t="s">
        <v>100</v>
      </c>
      <c r="C107" s="29" t="s">
        <v>38</v>
      </c>
      <c r="D107" s="29" t="s">
        <v>150</v>
      </c>
      <c r="E107" s="28" t="s">
        <v>40</v>
      </c>
      <c r="F107" s="28" t="s">
        <v>151</v>
      </c>
      <c r="G107" s="29" t="s">
        <v>42</v>
      </c>
      <c r="H107" s="29" t="s">
        <v>103</v>
      </c>
      <c r="I107" s="28" t="s">
        <v>104</v>
      </c>
      <c r="J107" s="29" t="s">
        <v>51</v>
      </c>
      <c r="K107" s="61">
        <v>542000</v>
      </c>
      <c r="L107" s="51">
        <v>-15000</v>
      </c>
      <c r="M107" s="51">
        <v>0</v>
      </c>
      <c r="N107" s="51">
        <v>0</v>
      </c>
      <c r="O107" s="51">
        <f t="shared" si="8"/>
        <v>527000</v>
      </c>
      <c r="P107" s="51">
        <v>502858.63</v>
      </c>
      <c r="Q107" s="51">
        <v>502858.63</v>
      </c>
      <c r="R107" s="51">
        <v>502858.63</v>
      </c>
      <c r="S107" s="51"/>
      <c r="T107" s="51"/>
      <c r="U107" s="51"/>
      <c r="V107" s="51"/>
      <c r="W107" s="51"/>
      <c r="X107" s="52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  <c r="IF107" s="27"/>
      <c r="IG107" s="27"/>
      <c r="IH107" s="27"/>
      <c r="II107" s="27"/>
      <c r="IJ107" s="27"/>
      <c r="IK107" s="27"/>
      <c r="IL107" s="27"/>
      <c r="IM107" s="27"/>
      <c r="IN107" s="27"/>
      <c r="IO107" s="27"/>
      <c r="IP107" s="27"/>
      <c r="IQ107" s="27"/>
      <c r="IR107" s="27"/>
    </row>
    <row r="108" spans="1:252" s="7" customFormat="1" ht="36" customHeight="1" x14ac:dyDescent="0.2">
      <c r="A108" s="21" t="s">
        <v>99</v>
      </c>
      <c r="B108" s="22" t="s">
        <v>100</v>
      </c>
      <c r="C108" s="29" t="s">
        <v>38</v>
      </c>
      <c r="D108" s="29" t="s">
        <v>150</v>
      </c>
      <c r="E108" s="28" t="s">
        <v>40</v>
      </c>
      <c r="F108" s="28" t="s">
        <v>151</v>
      </c>
      <c r="G108" s="29" t="s">
        <v>42</v>
      </c>
      <c r="H108" s="62" t="s">
        <v>56</v>
      </c>
      <c r="I108" s="65" t="s">
        <v>57</v>
      </c>
      <c r="J108" s="29" t="s">
        <v>51</v>
      </c>
      <c r="K108" s="61">
        <v>0</v>
      </c>
      <c r="L108" s="51">
        <v>537600</v>
      </c>
      <c r="M108" s="51">
        <v>0</v>
      </c>
      <c r="N108" s="51">
        <v>0</v>
      </c>
      <c r="O108" s="51">
        <f t="shared" si="8"/>
        <v>537600</v>
      </c>
      <c r="P108" s="51">
        <v>532595.67000000004</v>
      </c>
      <c r="Q108" s="51">
        <v>532595.67000000004</v>
      </c>
      <c r="R108" s="51">
        <v>521218.47</v>
      </c>
      <c r="S108" s="51"/>
      <c r="T108" s="51"/>
      <c r="U108" s="51"/>
      <c r="V108" s="51"/>
      <c r="W108" s="51"/>
      <c r="X108" s="52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  <c r="IF108" s="27"/>
      <c r="IG108" s="27"/>
      <c r="IH108" s="27"/>
      <c r="II108" s="27"/>
      <c r="IJ108" s="27"/>
      <c r="IK108" s="27"/>
      <c r="IL108" s="27"/>
      <c r="IM108" s="27"/>
      <c r="IN108" s="27"/>
      <c r="IO108" s="27"/>
      <c r="IP108" s="27"/>
      <c r="IQ108" s="27"/>
      <c r="IR108" s="27"/>
    </row>
    <row r="109" spans="1:252" s="7" customFormat="1" ht="36" customHeight="1" x14ac:dyDescent="0.2">
      <c r="A109" s="21" t="s">
        <v>99</v>
      </c>
      <c r="B109" s="22" t="s">
        <v>100</v>
      </c>
      <c r="C109" s="29" t="s">
        <v>38</v>
      </c>
      <c r="D109" s="29" t="s">
        <v>150</v>
      </c>
      <c r="E109" s="28" t="s">
        <v>40</v>
      </c>
      <c r="F109" s="28" t="s">
        <v>151</v>
      </c>
      <c r="G109" s="29" t="s">
        <v>42</v>
      </c>
      <c r="H109" s="62" t="s">
        <v>136</v>
      </c>
      <c r="I109" s="63" t="s">
        <v>137</v>
      </c>
      <c r="J109" s="29" t="s">
        <v>51</v>
      </c>
      <c r="K109" s="61">
        <v>0</v>
      </c>
      <c r="L109" s="51">
        <v>89600</v>
      </c>
      <c r="M109" s="51">
        <v>0</v>
      </c>
      <c r="N109" s="51">
        <v>0</v>
      </c>
      <c r="O109" s="51">
        <f t="shared" si="8"/>
        <v>89600</v>
      </c>
      <c r="P109" s="51">
        <v>35868</v>
      </c>
      <c r="Q109" s="51">
        <v>35868</v>
      </c>
      <c r="R109" s="51">
        <v>35868</v>
      </c>
      <c r="S109" s="51"/>
      <c r="T109" s="51"/>
      <c r="U109" s="51"/>
      <c r="V109" s="51"/>
      <c r="W109" s="51"/>
      <c r="X109" s="52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  <c r="IO109" s="27"/>
      <c r="IP109" s="27"/>
      <c r="IQ109" s="27"/>
      <c r="IR109" s="27"/>
    </row>
    <row r="110" spans="1:252" s="7" customFormat="1" ht="36" customHeight="1" x14ac:dyDescent="0.2">
      <c r="A110" s="21" t="s">
        <v>99</v>
      </c>
      <c r="B110" s="22" t="s">
        <v>100</v>
      </c>
      <c r="C110" s="29" t="s">
        <v>38</v>
      </c>
      <c r="D110" s="29" t="s">
        <v>152</v>
      </c>
      <c r="E110" s="28" t="s">
        <v>153</v>
      </c>
      <c r="F110" s="28" t="s">
        <v>154</v>
      </c>
      <c r="G110" s="29" t="s">
        <v>42</v>
      </c>
      <c r="H110" s="29" t="s">
        <v>43</v>
      </c>
      <c r="I110" s="28" t="s">
        <v>44</v>
      </c>
      <c r="J110" s="29" t="s">
        <v>128</v>
      </c>
      <c r="K110" s="61">
        <v>30000</v>
      </c>
      <c r="L110" s="51">
        <v>-171.61</v>
      </c>
      <c r="M110" s="51">
        <v>0</v>
      </c>
      <c r="N110" s="51">
        <v>0</v>
      </c>
      <c r="O110" s="51">
        <f t="shared" si="8"/>
        <v>29828.39</v>
      </c>
      <c r="P110" s="51"/>
      <c r="Q110" s="51"/>
      <c r="R110" s="51"/>
      <c r="S110" s="51"/>
      <c r="T110" s="51"/>
      <c r="U110" s="51"/>
      <c r="V110" s="51">
        <v>29530.46</v>
      </c>
      <c r="W110" s="51">
        <v>29530.46</v>
      </c>
      <c r="X110" s="52">
        <v>5544.46</v>
      </c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7"/>
      <c r="IO110" s="27"/>
      <c r="IP110" s="27"/>
      <c r="IQ110" s="27"/>
      <c r="IR110" s="27"/>
    </row>
    <row r="111" spans="1:252" s="7" customFormat="1" ht="36" customHeight="1" x14ac:dyDescent="0.2">
      <c r="A111" s="21" t="s">
        <v>99</v>
      </c>
      <c r="B111" s="22" t="s">
        <v>100</v>
      </c>
      <c r="C111" s="29" t="s">
        <v>38</v>
      </c>
      <c r="D111" s="29" t="s">
        <v>152</v>
      </c>
      <c r="E111" s="28" t="s">
        <v>153</v>
      </c>
      <c r="F111" s="28" t="s">
        <v>154</v>
      </c>
      <c r="G111" s="29" t="s">
        <v>42</v>
      </c>
      <c r="H111" s="29" t="s">
        <v>103</v>
      </c>
      <c r="I111" s="28" t="s">
        <v>104</v>
      </c>
      <c r="J111" s="29" t="s">
        <v>51</v>
      </c>
      <c r="K111" s="61">
        <v>335011</v>
      </c>
      <c r="L111" s="51">
        <v>-119000</v>
      </c>
      <c r="M111" s="51">
        <v>0</v>
      </c>
      <c r="N111" s="51">
        <v>0</v>
      </c>
      <c r="O111" s="51">
        <f t="shared" si="8"/>
        <v>216011</v>
      </c>
      <c r="P111" s="51"/>
      <c r="Q111" s="51"/>
      <c r="R111" s="51"/>
      <c r="S111" s="51"/>
      <c r="T111" s="51"/>
      <c r="U111" s="51"/>
      <c r="V111" s="51">
        <v>143661.25</v>
      </c>
      <c r="W111" s="51">
        <v>143661.25</v>
      </c>
      <c r="X111" s="52">
        <v>143661.25</v>
      </c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  <c r="IF111" s="27"/>
      <c r="IG111" s="27"/>
      <c r="IH111" s="27"/>
      <c r="II111" s="27"/>
      <c r="IJ111" s="27"/>
      <c r="IK111" s="27"/>
      <c r="IL111" s="27"/>
      <c r="IM111" s="27"/>
      <c r="IN111" s="27"/>
      <c r="IO111" s="27"/>
      <c r="IP111" s="27"/>
      <c r="IQ111" s="27"/>
      <c r="IR111" s="27"/>
    </row>
    <row r="112" spans="1:252" s="7" customFormat="1" ht="36" customHeight="1" x14ac:dyDescent="0.2">
      <c r="A112" s="21" t="s">
        <v>99</v>
      </c>
      <c r="B112" s="22" t="s">
        <v>100</v>
      </c>
      <c r="C112" s="29" t="s">
        <v>38</v>
      </c>
      <c r="D112" s="29" t="s">
        <v>152</v>
      </c>
      <c r="E112" s="28" t="s">
        <v>153</v>
      </c>
      <c r="F112" s="28" t="s">
        <v>154</v>
      </c>
      <c r="G112" s="29" t="s">
        <v>42</v>
      </c>
      <c r="H112" s="29" t="s">
        <v>103</v>
      </c>
      <c r="I112" s="28" t="s">
        <v>104</v>
      </c>
      <c r="J112" s="29" t="s">
        <v>128</v>
      </c>
      <c r="K112" s="61">
        <v>0</v>
      </c>
      <c r="L112" s="51">
        <f>119000-95000</f>
        <v>24000</v>
      </c>
      <c r="M112" s="51">
        <v>0</v>
      </c>
      <c r="N112" s="51">
        <v>0</v>
      </c>
      <c r="O112" s="51">
        <f t="shared" si="8"/>
        <v>24000</v>
      </c>
      <c r="P112" s="51"/>
      <c r="Q112" s="51"/>
      <c r="R112" s="51"/>
      <c r="S112" s="51"/>
      <c r="T112" s="51"/>
      <c r="U112" s="51"/>
      <c r="V112" s="51">
        <v>0</v>
      </c>
      <c r="W112" s="51">
        <v>0</v>
      </c>
      <c r="X112" s="52">
        <v>0</v>
      </c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  <c r="IO112" s="27"/>
      <c r="IP112" s="27"/>
      <c r="IQ112" s="27"/>
      <c r="IR112" s="27"/>
    </row>
    <row r="113" spans="1:252" s="7" customFormat="1" ht="36" customHeight="1" x14ac:dyDescent="0.2">
      <c r="A113" s="21" t="s">
        <v>99</v>
      </c>
      <c r="B113" s="22" t="s">
        <v>100</v>
      </c>
      <c r="C113" s="29" t="s">
        <v>38</v>
      </c>
      <c r="D113" s="29" t="s">
        <v>155</v>
      </c>
      <c r="E113" s="28" t="s">
        <v>153</v>
      </c>
      <c r="F113" s="28" t="s">
        <v>156</v>
      </c>
      <c r="G113" s="29" t="s">
        <v>42</v>
      </c>
      <c r="H113" s="29" t="s">
        <v>103</v>
      </c>
      <c r="I113" s="28" t="s">
        <v>104</v>
      </c>
      <c r="J113" s="29" t="s">
        <v>51</v>
      </c>
      <c r="K113" s="61">
        <v>120000</v>
      </c>
      <c r="L113" s="51">
        <v>-105000</v>
      </c>
      <c r="M113" s="51">
        <v>0</v>
      </c>
      <c r="N113" s="51">
        <v>0</v>
      </c>
      <c r="O113" s="51">
        <f t="shared" si="8"/>
        <v>15000</v>
      </c>
      <c r="P113" s="51"/>
      <c r="Q113" s="51"/>
      <c r="R113" s="51"/>
      <c r="S113" s="51"/>
      <c r="T113" s="51"/>
      <c r="U113" s="51"/>
      <c r="V113" s="51">
        <v>496.67</v>
      </c>
      <c r="W113" s="51">
        <v>496.67</v>
      </c>
      <c r="X113" s="52">
        <v>496.67</v>
      </c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7"/>
      <c r="IO113" s="27"/>
      <c r="IP113" s="27"/>
      <c r="IQ113" s="27"/>
      <c r="IR113" s="27"/>
    </row>
    <row r="114" spans="1:252" s="7" customFormat="1" ht="36" customHeight="1" x14ac:dyDescent="0.2">
      <c r="A114" s="21" t="s">
        <v>99</v>
      </c>
      <c r="B114" s="22" t="s">
        <v>100</v>
      </c>
      <c r="C114" s="29" t="s">
        <v>38</v>
      </c>
      <c r="D114" s="29" t="s">
        <v>157</v>
      </c>
      <c r="E114" s="28" t="s">
        <v>158</v>
      </c>
      <c r="F114" s="28" t="s">
        <v>159</v>
      </c>
      <c r="G114" s="29" t="s">
        <v>42</v>
      </c>
      <c r="H114" s="29" t="s">
        <v>43</v>
      </c>
      <c r="I114" s="28" t="s">
        <v>44</v>
      </c>
      <c r="J114" s="29" t="s">
        <v>128</v>
      </c>
      <c r="K114" s="61">
        <v>4420000</v>
      </c>
      <c r="L114" s="51">
        <v>-2795764.27</v>
      </c>
      <c r="M114" s="51">
        <v>0</v>
      </c>
      <c r="N114" s="51">
        <v>0</v>
      </c>
      <c r="O114" s="51">
        <f t="shared" si="8"/>
        <v>1624235.73</v>
      </c>
      <c r="P114" s="51">
        <v>1283330.5</v>
      </c>
      <c r="Q114" s="51">
        <v>1283330.5</v>
      </c>
      <c r="R114" s="51">
        <v>1224526.6399999999</v>
      </c>
      <c r="S114" s="51"/>
      <c r="T114" s="51"/>
      <c r="U114" s="51"/>
      <c r="V114" s="51"/>
      <c r="W114" s="51"/>
      <c r="X114" s="52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  <c r="IF114" s="27"/>
      <c r="IG114" s="27"/>
      <c r="IH114" s="27"/>
      <c r="II114" s="27"/>
      <c r="IJ114" s="27"/>
      <c r="IK114" s="27"/>
      <c r="IL114" s="27"/>
      <c r="IM114" s="27"/>
      <c r="IN114" s="27"/>
      <c r="IO114" s="27"/>
      <c r="IP114" s="27"/>
      <c r="IQ114" s="27"/>
      <c r="IR114" s="27"/>
    </row>
    <row r="115" spans="1:252" s="7" customFormat="1" ht="36" customHeight="1" x14ac:dyDescent="0.2">
      <c r="A115" s="21" t="s">
        <v>99</v>
      </c>
      <c r="B115" s="22" t="s">
        <v>100</v>
      </c>
      <c r="C115" s="29" t="s">
        <v>38</v>
      </c>
      <c r="D115" s="29" t="s">
        <v>157</v>
      </c>
      <c r="E115" s="28" t="s">
        <v>158</v>
      </c>
      <c r="F115" s="28" t="s">
        <v>159</v>
      </c>
      <c r="G115" s="29" t="s">
        <v>42</v>
      </c>
      <c r="H115" s="29" t="s">
        <v>43</v>
      </c>
      <c r="I115" s="28" t="s">
        <v>44</v>
      </c>
      <c r="J115" s="29" t="s">
        <v>160</v>
      </c>
      <c r="K115" s="61">
        <v>620673</v>
      </c>
      <c r="L115" s="51">
        <v>-620673</v>
      </c>
      <c r="M115" s="51">
        <v>0</v>
      </c>
      <c r="N115" s="51">
        <v>0</v>
      </c>
      <c r="O115" s="51">
        <f t="shared" si="8"/>
        <v>0</v>
      </c>
      <c r="P115" s="51">
        <v>0</v>
      </c>
      <c r="Q115" s="51">
        <v>0</v>
      </c>
      <c r="R115" s="51">
        <v>0</v>
      </c>
      <c r="S115" s="51"/>
      <c r="T115" s="51"/>
      <c r="U115" s="51"/>
      <c r="V115" s="51"/>
      <c r="W115" s="51"/>
      <c r="X115" s="52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  <c r="IO115" s="27"/>
      <c r="IP115" s="27"/>
      <c r="IQ115" s="27"/>
      <c r="IR115" s="27"/>
    </row>
    <row r="116" spans="1:252" s="7" customFormat="1" ht="36" customHeight="1" x14ac:dyDescent="0.2">
      <c r="A116" s="21" t="s">
        <v>99</v>
      </c>
      <c r="B116" s="22" t="s">
        <v>100</v>
      </c>
      <c r="C116" s="29" t="s">
        <v>38</v>
      </c>
      <c r="D116" s="29" t="s">
        <v>157</v>
      </c>
      <c r="E116" s="28" t="s">
        <v>158</v>
      </c>
      <c r="F116" s="28" t="s">
        <v>159</v>
      </c>
      <c r="G116" s="29" t="s">
        <v>42</v>
      </c>
      <c r="H116" s="29" t="s">
        <v>52</v>
      </c>
      <c r="I116" s="28" t="s">
        <v>53</v>
      </c>
      <c r="J116" s="29" t="s">
        <v>128</v>
      </c>
      <c r="K116" s="61">
        <v>300000</v>
      </c>
      <c r="L116" s="51">
        <v>0</v>
      </c>
      <c r="M116" s="51">
        <v>0</v>
      </c>
      <c r="N116" s="51">
        <v>0</v>
      </c>
      <c r="O116" s="51">
        <f t="shared" si="8"/>
        <v>300000</v>
      </c>
      <c r="P116" s="51">
        <v>0</v>
      </c>
      <c r="Q116" s="51">
        <v>0</v>
      </c>
      <c r="R116" s="51">
        <v>0</v>
      </c>
      <c r="S116" s="51"/>
      <c r="T116" s="51"/>
      <c r="U116" s="51"/>
      <c r="V116" s="51"/>
      <c r="W116" s="51"/>
      <c r="X116" s="52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  <c r="IO116" s="27"/>
      <c r="IP116" s="27"/>
      <c r="IQ116" s="27"/>
      <c r="IR116" s="27"/>
    </row>
    <row r="117" spans="1:252" s="7" customFormat="1" ht="36" customHeight="1" x14ac:dyDescent="0.2">
      <c r="A117" s="21" t="s">
        <v>99</v>
      </c>
      <c r="B117" s="22" t="s">
        <v>100</v>
      </c>
      <c r="C117" s="29" t="s">
        <v>38</v>
      </c>
      <c r="D117" s="29" t="s">
        <v>157</v>
      </c>
      <c r="E117" s="28" t="s">
        <v>158</v>
      </c>
      <c r="F117" s="28" t="s">
        <v>159</v>
      </c>
      <c r="G117" s="29" t="s">
        <v>42</v>
      </c>
      <c r="H117" s="29" t="s">
        <v>103</v>
      </c>
      <c r="I117" s="28" t="s">
        <v>104</v>
      </c>
      <c r="J117" s="29" t="s">
        <v>51</v>
      </c>
      <c r="K117" s="61">
        <v>51000</v>
      </c>
      <c r="L117" s="51">
        <v>0</v>
      </c>
      <c r="M117" s="51">
        <v>0</v>
      </c>
      <c r="N117" s="51">
        <v>0</v>
      </c>
      <c r="O117" s="51">
        <f t="shared" si="8"/>
        <v>51000</v>
      </c>
      <c r="P117" s="51">
        <v>20790.990000000002</v>
      </c>
      <c r="Q117" s="51">
        <v>20790.990000000002</v>
      </c>
      <c r="R117" s="51">
        <v>18790.990000000002</v>
      </c>
      <c r="S117" s="51"/>
      <c r="T117" s="51"/>
      <c r="U117" s="51"/>
      <c r="V117" s="51"/>
      <c r="W117" s="51"/>
      <c r="X117" s="52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  <c r="IM117" s="27"/>
      <c r="IN117" s="27"/>
      <c r="IO117" s="27"/>
      <c r="IP117" s="27"/>
      <c r="IQ117" s="27"/>
      <c r="IR117" s="27"/>
    </row>
    <row r="118" spans="1:252" s="7" customFormat="1" ht="36" customHeight="1" x14ac:dyDescent="0.2">
      <c r="A118" s="21" t="s">
        <v>99</v>
      </c>
      <c r="B118" s="22" t="s">
        <v>100</v>
      </c>
      <c r="C118" s="29" t="s">
        <v>38</v>
      </c>
      <c r="D118" s="29" t="s">
        <v>157</v>
      </c>
      <c r="E118" s="28" t="s">
        <v>158</v>
      </c>
      <c r="F118" s="28" t="s">
        <v>159</v>
      </c>
      <c r="G118" s="29" t="s">
        <v>42</v>
      </c>
      <c r="H118" s="62" t="s">
        <v>56</v>
      </c>
      <c r="I118" s="65" t="s">
        <v>57</v>
      </c>
      <c r="J118" s="29" t="s">
        <v>128</v>
      </c>
      <c r="K118" s="61">
        <v>0</v>
      </c>
      <c r="L118" s="51">
        <v>766991</v>
      </c>
      <c r="M118" s="51">
        <v>0</v>
      </c>
      <c r="N118" s="51">
        <v>0</v>
      </c>
      <c r="O118" s="51">
        <f t="shared" si="8"/>
        <v>766991</v>
      </c>
      <c r="P118" s="51">
        <v>237180.1</v>
      </c>
      <c r="Q118" s="51">
        <v>237180.1</v>
      </c>
      <c r="R118" s="51">
        <v>167680.1</v>
      </c>
      <c r="S118" s="51"/>
      <c r="T118" s="51"/>
      <c r="U118" s="51"/>
      <c r="V118" s="51"/>
      <c r="W118" s="51"/>
      <c r="X118" s="52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27"/>
      <c r="IQ118" s="27"/>
      <c r="IR118" s="27"/>
    </row>
    <row r="119" spans="1:252" s="7" customFormat="1" ht="36" customHeight="1" x14ac:dyDescent="0.2">
      <c r="A119" s="21" t="s">
        <v>99</v>
      </c>
      <c r="B119" s="22" t="s">
        <v>100</v>
      </c>
      <c r="C119" s="29" t="s">
        <v>38</v>
      </c>
      <c r="D119" s="29" t="s">
        <v>161</v>
      </c>
      <c r="E119" s="28" t="s">
        <v>158</v>
      </c>
      <c r="F119" s="28" t="s">
        <v>162</v>
      </c>
      <c r="G119" s="29" t="s">
        <v>42</v>
      </c>
      <c r="H119" s="29" t="s">
        <v>43</v>
      </c>
      <c r="I119" s="28" t="s">
        <v>44</v>
      </c>
      <c r="J119" s="29" t="s">
        <v>128</v>
      </c>
      <c r="K119" s="61">
        <v>300000</v>
      </c>
      <c r="L119" s="51">
        <v>-53804.85</v>
      </c>
      <c r="M119" s="51">
        <v>0</v>
      </c>
      <c r="N119" s="51">
        <v>0</v>
      </c>
      <c r="O119" s="51">
        <f t="shared" si="8"/>
        <v>246195.15</v>
      </c>
      <c r="P119" s="51"/>
      <c r="Q119" s="51"/>
      <c r="R119" s="51"/>
      <c r="S119" s="51">
        <v>246119.2</v>
      </c>
      <c r="T119" s="51">
        <v>246119.2</v>
      </c>
      <c r="U119" s="51">
        <v>246119.2</v>
      </c>
      <c r="V119" s="51"/>
      <c r="W119" s="51"/>
      <c r="X119" s="52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7"/>
      <c r="IO119" s="27"/>
      <c r="IP119" s="27"/>
      <c r="IQ119" s="27"/>
      <c r="IR119" s="27"/>
    </row>
    <row r="120" spans="1:252" s="7" customFormat="1" ht="36" customHeight="1" x14ac:dyDescent="0.2">
      <c r="A120" s="21" t="s">
        <v>99</v>
      </c>
      <c r="B120" s="22" t="s">
        <v>100</v>
      </c>
      <c r="C120" s="29" t="s">
        <v>38</v>
      </c>
      <c r="D120" s="29" t="s">
        <v>161</v>
      </c>
      <c r="E120" s="28" t="s">
        <v>158</v>
      </c>
      <c r="F120" s="28" t="s">
        <v>162</v>
      </c>
      <c r="G120" s="29" t="s">
        <v>42</v>
      </c>
      <c r="H120" s="29" t="s">
        <v>103</v>
      </c>
      <c r="I120" s="28" t="s">
        <v>104</v>
      </c>
      <c r="J120" s="29" t="s">
        <v>51</v>
      </c>
      <c r="K120" s="61">
        <v>1000</v>
      </c>
      <c r="L120" s="51">
        <v>0</v>
      </c>
      <c r="M120" s="51">
        <v>0</v>
      </c>
      <c r="N120" s="51">
        <v>0</v>
      </c>
      <c r="O120" s="51">
        <f t="shared" si="8"/>
        <v>1000</v>
      </c>
      <c r="P120" s="51"/>
      <c r="Q120" s="51"/>
      <c r="R120" s="51"/>
      <c r="S120" s="51">
        <v>85.96</v>
      </c>
      <c r="T120" s="51">
        <v>85.96</v>
      </c>
      <c r="U120" s="51">
        <v>85.96</v>
      </c>
      <c r="V120" s="51"/>
      <c r="W120" s="51"/>
      <c r="X120" s="52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  <c r="IF120" s="27"/>
      <c r="IG120" s="27"/>
      <c r="IH120" s="27"/>
      <c r="II120" s="27"/>
      <c r="IJ120" s="27"/>
      <c r="IK120" s="27"/>
      <c r="IL120" s="27"/>
      <c r="IM120" s="27"/>
      <c r="IN120" s="27"/>
      <c r="IO120" s="27"/>
      <c r="IP120" s="27"/>
      <c r="IQ120" s="27"/>
      <c r="IR120" s="27"/>
    </row>
    <row r="121" spans="1:252" s="7" customFormat="1" ht="36" customHeight="1" x14ac:dyDescent="0.2">
      <c r="A121" s="21" t="s">
        <v>99</v>
      </c>
      <c r="B121" s="22" t="s">
        <v>100</v>
      </c>
      <c r="C121" s="29" t="s">
        <v>38</v>
      </c>
      <c r="D121" s="29" t="s">
        <v>161</v>
      </c>
      <c r="E121" s="28" t="s">
        <v>158</v>
      </c>
      <c r="F121" s="28" t="s">
        <v>162</v>
      </c>
      <c r="G121" s="29" t="s">
        <v>42</v>
      </c>
      <c r="H121" s="62" t="s">
        <v>56</v>
      </c>
      <c r="I121" s="65" t="s">
        <v>57</v>
      </c>
      <c r="J121" s="29" t="s">
        <v>128</v>
      </c>
      <c r="K121" s="61">
        <v>0</v>
      </c>
      <c r="L121" s="51">
        <v>843579</v>
      </c>
      <c r="M121" s="51">
        <v>0</v>
      </c>
      <c r="N121" s="51">
        <v>0</v>
      </c>
      <c r="O121" s="51">
        <f t="shared" si="8"/>
        <v>843579</v>
      </c>
      <c r="P121" s="51"/>
      <c r="Q121" s="51"/>
      <c r="R121" s="51"/>
      <c r="S121" s="51">
        <v>807766.63</v>
      </c>
      <c r="T121" s="51">
        <v>807766.63</v>
      </c>
      <c r="U121" s="51">
        <v>807766.63</v>
      </c>
      <c r="V121" s="51"/>
      <c r="W121" s="51"/>
      <c r="X121" s="52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  <c r="IF121" s="27"/>
      <c r="IG121" s="27"/>
      <c r="IH121" s="27"/>
      <c r="II121" s="27"/>
      <c r="IJ121" s="27"/>
      <c r="IK121" s="27"/>
      <c r="IL121" s="27"/>
      <c r="IM121" s="27"/>
      <c r="IN121" s="27"/>
      <c r="IO121" s="27"/>
      <c r="IP121" s="27"/>
      <c r="IQ121" s="27"/>
      <c r="IR121" s="27"/>
    </row>
    <row r="122" spans="1:252" s="7" customFormat="1" ht="36" customHeight="1" x14ac:dyDescent="0.2">
      <c r="A122" s="21" t="s">
        <v>99</v>
      </c>
      <c r="B122" s="22" t="s">
        <v>100</v>
      </c>
      <c r="C122" s="29" t="s">
        <v>38</v>
      </c>
      <c r="D122" s="29" t="s">
        <v>163</v>
      </c>
      <c r="E122" s="28" t="s">
        <v>158</v>
      </c>
      <c r="F122" s="28" t="s">
        <v>164</v>
      </c>
      <c r="G122" s="29" t="s">
        <v>42</v>
      </c>
      <c r="H122" s="29" t="s">
        <v>43</v>
      </c>
      <c r="I122" s="28" t="s">
        <v>44</v>
      </c>
      <c r="J122" s="29" t="s">
        <v>128</v>
      </c>
      <c r="K122" s="61">
        <v>280000</v>
      </c>
      <c r="L122" s="51">
        <v>-124536.9</v>
      </c>
      <c r="M122" s="51">
        <v>0</v>
      </c>
      <c r="N122" s="51">
        <v>0</v>
      </c>
      <c r="O122" s="51">
        <f t="shared" si="8"/>
        <v>155463.1</v>
      </c>
      <c r="P122" s="51"/>
      <c r="Q122" s="51"/>
      <c r="R122" s="51"/>
      <c r="S122" s="51"/>
      <c r="T122" s="51"/>
      <c r="U122" s="51"/>
      <c r="V122" s="51">
        <v>155462.39999999999</v>
      </c>
      <c r="W122" s="51">
        <v>155462.39999999999</v>
      </c>
      <c r="X122" s="52">
        <v>155462.39999999999</v>
      </c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  <c r="IF122" s="27"/>
      <c r="IG122" s="27"/>
      <c r="IH122" s="27"/>
      <c r="II122" s="27"/>
      <c r="IJ122" s="27"/>
      <c r="IK122" s="27"/>
      <c r="IL122" s="27"/>
      <c r="IM122" s="27"/>
      <c r="IN122" s="27"/>
      <c r="IO122" s="27"/>
      <c r="IP122" s="27"/>
      <c r="IQ122" s="27"/>
      <c r="IR122" s="27"/>
    </row>
    <row r="123" spans="1:252" s="7" customFormat="1" ht="36" customHeight="1" x14ac:dyDescent="0.2">
      <c r="A123" s="21" t="s">
        <v>99</v>
      </c>
      <c r="B123" s="22" t="s">
        <v>100</v>
      </c>
      <c r="C123" s="29" t="s">
        <v>38</v>
      </c>
      <c r="D123" s="29" t="s">
        <v>163</v>
      </c>
      <c r="E123" s="28" t="s">
        <v>158</v>
      </c>
      <c r="F123" s="28" t="s">
        <v>164</v>
      </c>
      <c r="G123" s="29" t="s">
        <v>42</v>
      </c>
      <c r="H123" s="29" t="s">
        <v>103</v>
      </c>
      <c r="I123" s="28" t="s">
        <v>104</v>
      </c>
      <c r="J123" s="29" t="s">
        <v>51</v>
      </c>
      <c r="K123" s="61">
        <v>26200</v>
      </c>
      <c r="L123" s="51">
        <v>0</v>
      </c>
      <c r="M123" s="51">
        <v>0</v>
      </c>
      <c r="N123" s="51">
        <v>0</v>
      </c>
      <c r="O123" s="51">
        <f t="shared" si="8"/>
        <v>26200</v>
      </c>
      <c r="P123" s="51"/>
      <c r="Q123" s="51"/>
      <c r="R123" s="51"/>
      <c r="S123" s="51"/>
      <c r="T123" s="51"/>
      <c r="U123" s="51"/>
      <c r="V123" s="51">
        <v>15085.96</v>
      </c>
      <c r="W123" s="51">
        <v>15085.96</v>
      </c>
      <c r="X123" s="52">
        <v>15085.96</v>
      </c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  <c r="HW123" s="27"/>
      <c r="HX123" s="27"/>
      <c r="HY123" s="27"/>
      <c r="HZ123" s="27"/>
      <c r="IA123" s="27"/>
      <c r="IB123" s="27"/>
      <c r="IC123" s="27"/>
      <c r="ID123" s="27"/>
      <c r="IE123" s="27"/>
      <c r="IF123" s="27"/>
      <c r="IG123" s="27"/>
      <c r="IH123" s="27"/>
      <c r="II123" s="27"/>
      <c r="IJ123" s="27"/>
      <c r="IK123" s="27"/>
      <c r="IL123" s="27"/>
      <c r="IM123" s="27"/>
      <c r="IN123" s="27"/>
      <c r="IO123" s="27"/>
      <c r="IP123" s="27"/>
      <c r="IQ123" s="27"/>
      <c r="IR123" s="27"/>
    </row>
    <row r="124" spans="1:252" s="7" customFormat="1" ht="36" customHeight="1" x14ac:dyDescent="0.2">
      <c r="A124" s="21" t="s">
        <v>99</v>
      </c>
      <c r="B124" s="22" t="s">
        <v>100</v>
      </c>
      <c r="C124" s="29" t="s">
        <v>38</v>
      </c>
      <c r="D124" s="29" t="s">
        <v>163</v>
      </c>
      <c r="E124" s="28" t="s">
        <v>158</v>
      </c>
      <c r="F124" s="28" t="s">
        <v>164</v>
      </c>
      <c r="G124" s="29" t="s">
        <v>42</v>
      </c>
      <c r="H124" s="29" t="s">
        <v>103</v>
      </c>
      <c r="I124" s="28" t="s">
        <v>104</v>
      </c>
      <c r="J124" s="29" t="s">
        <v>128</v>
      </c>
      <c r="K124" s="61">
        <v>607804</v>
      </c>
      <c r="L124" s="51">
        <v>-605000</v>
      </c>
      <c r="M124" s="51">
        <v>0</v>
      </c>
      <c r="N124" s="51">
        <v>0</v>
      </c>
      <c r="O124" s="51">
        <f t="shared" si="8"/>
        <v>2804</v>
      </c>
      <c r="P124" s="51"/>
      <c r="Q124" s="51"/>
      <c r="R124" s="51"/>
      <c r="S124" s="51"/>
      <c r="T124" s="51"/>
      <c r="U124" s="51"/>
      <c r="V124" s="51">
        <v>0</v>
      </c>
      <c r="W124" s="51">
        <v>0</v>
      </c>
      <c r="X124" s="52">
        <v>0</v>
      </c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  <c r="IR124" s="27"/>
    </row>
    <row r="125" spans="1:252" s="7" customFormat="1" ht="36" customHeight="1" x14ac:dyDescent="0.2">
      <c r="A125" s="21" t="s">
        <v>99</v>
      </c>
      <c r="B125" s="22" t="s">
        <v>100</v>
      </c>
      <c r="C125" s="29" t="s">
        <v>38</v>
      </c>
      <c r="D125" s="29" t="s">
        <v>163</v>
      </c>
      <c r="E125" s="28" t="s">
        <v>158</v>
      </c>
      <c r="F125" s="28" t="s">
        <v>164</v>
      </c>
      <c r="G125" s="29" t="s">
        <v>42</v>
      </c>
      <c r="H125" s="29" t="s">
        <v>54</v>
      </c>
      <c r="I125" s="28" t="s">
        <v>55</v>
      </c>
      <c r="J125" s="29" t="s">
        <v>128</v>
      </c>
      <c r="K125" s="61">
        <v>0</v>
      </c>
      <c r="L125" s="51">
        <v>1500000</v>
      </c>
      <c r="M125" s="51">
        <v>0</v>
      </c>
      <c r="N125" s="51">
        <v>0</v>
      </c>
      <c r="O125" s="51">
        <f t="shared" si="8"/>
        <v>1500000</v>
      </c>
      <c r="P125" s="51"/>
      <c r="Q125" s="51"/>
      <c r="R125" s="51"/>
      <c r="S125" s="51"/>
      <c r="T125" s="51"/>
      <c r="U125" s="51"/>
      <c r="V125" s="51">
        <v>872990.26</v>
      </c>
      <c r="W125" s="51">
        <v>872990.26</v>
      </c>
      <c r="X125" s="52">
        <v>15647.69</v>
      </c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  <c r="IO125" s="27"/>
      <c r="IP125" s="27"/>
      <c r="IQ125" s="27"/>
      <c r="IR125" s="27"/>
    </row>
    <row r="126" spans="1:252" s="7" customFormat="1" ht="36" customHeight="1" x14ac:dyDescent="0.2">
      <c r="A126" s="21" t="s">
        <v>99</v>
      </c>
      <c r="B126" s="22" t="s">
        <v>100</v>
      </c>
      <c r="C126" s="29" t="s">
        <v>38</v>
      </c>
      <c r="D126" s="29" t="s">
        <v>163</v>
      </c>
      <c r="E126" s="28" t="s">
        <v>158</v>
      </c>
      <c r="F126" s="28" t="s">
        <v>164</v>
      </c>
      <c r="G126" s="29" t="s">
        <v>42</v>
      </c>
      <c r="H126" s="62" t="s">
        <v>56</v>
      </c>
      <c r="I126" s="65" t="s">
        <v>57</v>
      </c>
      <c r="J126" s="29" t="s">
        <v>128</v>
      </c>
      <c r="K126" s="61">
        <v>0</v>
      </c>
      <c r="L126" s="51">
        <f>3505994-1000000</f>
        <v>2505994</v>
      </c>
      <c r="M126" s="51">
        <v>0</v>
      </c>
      <c r="N126" s="51">
        <v>0</v>
      </c>
      <c r="O126" s="51">
        <f t="shared" si="8"/>
        <v>2505994</v>
      </c>
      <c r="P126" s="51"/>
      <c r="Q126" s="51"/>
      <c r="R126" s="51"/>
      <c r="S126" s="51"/>
      <c r="T126" s="51"/>
      <c r="U126" s="51"/>
      <c r="V126" s="51">
        <v>2320405.02</v>
      </c>
      <c r="W126" s="51">
        <v>2320405.02</v>
      </c>
      <c r="X126" s="52">
        <v>2320405.02</v>
      </c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</row>
    <row r="127" spans="1:252" s="7" customFormat="1" ht="36" customHeight="1" x14ac:dyDescent="0.2">
      <c r="A127" s="21" t="s">
        <v>99</v>
      </c>
      <c r="B127" s="22" t="s">
        <v>100</v>
      </c>
      <c r="C127" s="29" t="s">
        <v>38</v>
      </c>
      <c r="D127" s="29" t="s">
        <v>163</v>
      </c>
      <c r="E127" s="28" t="s">
        <v>158</v>
      </c>
      <c r="F127" s="28" t="s">
        <v>164</v>
      </c>
      <c r="G127" s="29" t="s">
        <v>42</v>
      </c>
      <c r="H127" s="62" t="s">
        <v>136</v>
      </c>
      <c r="I127" s="63" t="s">
        <v>137</v>
      </c>
      <c r="J127" s="29" t="s">
        <v>128</v>
      </c>
      <c r="K127" s="61">
        <v>0</v>
      </c>
      <c r="L127" s="51">
        <v>607804</v>
      </c>
      <c r="M127" s="51">
        <v>0</v>
      </c>
      <c r="N127" s="51">
        <v>0</v>
      </c>
      <c r="O127" s="51">
        <f t="shared" si="8"/>
        <v>607804</v>
      </c>
      <c r="P127" s="51"/>
      <c r="Q127" s="51"/>
      <c r="R127" s="51"/>
      <c r="S127" s="51"/>
      <c r="T127" s="51"/>
      <c r="U127" s="51"/>
      <c r="V127" s="51">
        <v>407524.47</v>
      </c>
      <c r="W127" s="51">
        <v>407524.47</v>
      </c>
      <c r="X127" s="52">
        <v>407524.47</v>
      </c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  <c r="IL127" s="27"/>
      <c r="IM127" s="27"/>
      <c r="IN127" s="27"/>
      <c r="IO127" s="27"/>
      <c r="IP127" s="27"/>
      <c r="IQ127" s="27"/>
      <c r="IR127" s="27"/>
    </row>
    <row r="128" spans="1:252" s="7" customFormat="1" ht="36" customHeight="1" x14ac:dyDescent="0.2">
      <c r="A128" s="21" t="s">
        <v>99</v>
      </c>
      <c r="B128" s="22" t="s">
        <v>100</v>
      </c>
      <c r="C128" s="29" t="s">
        <v>38</v>
      </c>
      <c r="D128" s="29" t="s">
        <v>165</v>
      </c>
      <c r="E128" s="28" t="s">
        <v>158</v>
      </c>
      <c r="F128" s="28" t="s">
        <v>166</v>
      </c>
      <c r="G128" s="29" t="s">
        <v>42</v>
      </c>
      <c r="H128" s="29" t="s">
        <v>43</v>
      </c>
      <c r="I128" s="28" t="s">
        <v>44</v>
      </c>
      <c r="J128" s="29" t="s">
        <v>51</v>
      </c>
      <c r="K128" s="61">
        <v>1515620</v>
      </c>
      <c r="L128" s="51">
        <v>-64749.57</v>
      </c>
      <c r="M128" s="51">
        <v>0</v>
      </c>
      <c r="N128" s="51">
        <v>0</v>
      </c>
      <c r="O128" s="51">
        <f t="shared" si="8"/>
        <v>1450870.43</v>
      </c>
      <c r="P128" s="51">
        <v>1441142.31</v>
      </c>
      <c r="Q128" s="51">
        <v>1441142.31</v>
      </c>
      <c r="R128" s="51">
        <v>935472.88</v>
      </c>
      <c r="S128" s="51"/>
      <c r="T128" s="51"/>
      <c r="U128" s="51"/>
      <c r="V128" s="51"/>
      <c r="W128" s="51"/>
      <c r="X128" s="52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  <c r="IF128" s="27"/>
      <c r="IG128" s="27"/>
      <c r="IH128" s="27"/>
      <c r="II128" s="27"/>
      <c r="IJ128" s="27"/>
      <c r="IK128" s="27"/>
      <c r="IL128" s="27"/>
      <c r="IM128" s="27"/>
      <c r="IN128" s="27"/>
      <c r="IO128" s="27"/>
      <c r="IP128" s="27"/>
      <c r="IQ128" s="27"/>
      <c r="IR128" s="27"/>
    </row>
    <row r="129" spans="1:252" s="7" customFormat="1" ht="36" customHeight="1" x14ac:dyDescent="0.2">
      <c r="A129" s="21" t="s">
        <v>99</v>
      </c>
      <c r="B129" s="22" t="s">
        <v>100</v>
      </c>
      <c r="C129" s="29" t="s">
        <v>38</v>
      </c>
      <c r="D129" s="29" t="s">
        <v>165</v>
      </c>
      <c r="E129" s="28" t="s">
        <v>158</v>
      </c>
      <c r="F129" s="28" t="s">
        <v>166</v>
      </c>
      <c r="G129" s="29" t="s">
        <v>42</v>
      </c>
      <c r="H129" s="29" t="s">
        <v>43</v>
      </c>
      <c r="I129" s="28" t="s">
        <v>44</v>
      </c>
      <c r="J129" s="29" t="s">
        <v>128</v>
      </c>
      <c r="K129" s="61">
        <v>100000</v>
      </c>
      <c r="L129" s="51">
        <f>95375-15131.38</f>
        <v>80243.62</v>
      </c>
      <c r="M129" s="51">
        <v>0</v>
      </c>
      <c r="N129" s="51">
        <v>0</v>
      </c>
      <c r="O129" s="51">
        <f t="shared" si="8"/>
        <v>180243.62</v>
      </c>
      <c r="P129" s="51">
        <v>180243.22</v>
      </c>
      <c r="Q129" s="51">
        <v>180243.22</v>
      </c>
      <c r="R129" s="51">
        <v>180243.22</v>
      </c>
      <c r="S129" s="51"/>
      <c r="T129" s="51"/>
      <c r="U129" s="51"/>
      <c r="V129" s="51"/>
      <c r="W129" s="51"/>
      <c r="X129" s="52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  <c r="IF129" s="27"/>
      <c r="IG129" s="27"/>
      <c r="IH129" s="27"/>
      <c r="II129" s="27"/>
      <c r="IJ129" s="27"/>
      <c r="IK129" s="27"/>
      <c r="IL129" s="27"/>
      <c r="IM129" s="27"/>
      <c r="IN129" s="27"/>
      <c r="IO129" s="27"/>
      <c r="IP129" s="27"/>
      <c r="IQ129" s="27"/>
      <c r="IR129" s="27"/>
    </row>
    <row r="130" spans="1:252" s="7" customFormat="1" ht="36" customHeight="1" x14ac:dyDescent="0.2">
      <c r="A130" s="21" t="s">
        <v>99</v>
      </c>
      <c r="B130" s="22" t="s">
        <v>100</v>
      </c>
      <c r="C130" s="29" t="s">
        <v>38</v>
      </c>
      <c r="D130" s="29" t="s">
        <v>165</v>
      </c>
      <c r="E130" s="28" t="s">
        <v>158</v>
      </c>
      <c r="F130" s="28" t="s">
        <v>166</v>
      </c>
      <c r="G130" s="29" t="s">
        <v>42</v>
      </c>
      <c r="H130" s="29" t="s">
        <v>134</v>
      </c>
      <c r="I130" s="28" t="s">
        <v>135</v>
      </c>
      <c r="J130" s="29" t="s">
        <v>51</v>
      </c>
      <c r="K130" s="61">
        <v>0</v>
      </c>
      <c r="L130" s="51">
        <v>24563.93</v>
      </c>
      <c r="M130" s="51">
        <v>0</v>
      </c>
      <c r="N130" s="51">
        <v>0</v>
      </c>
      <c r="O130" s="51">
        <f t="shared" si="8"/>
        <v>24563.93</v>
      </c>
      <c r="P130" s="51">
        <v>0</v>
      </c>
      <c r="Q130" s="51">
        <v>0</v>
      </c>
      <c r="R130" s="51">
        <v>0</v>
      </c>
      <c r="S130" s="51"/>
      <c r="T130" s="51"/>
      <c r="U130" s="51"/>
      <c r="V130" s="51"/>
      <c r="W130" s="51"/>
      <c r="X130" s="52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B130" s="27"/>
      <c r="IC130" s="27"/>
      <c r="ID130" s="27"/>
      <c r="IE130" s="27"/>
      <c r="IF130" s="27"/>
      <c r="IG130" s="27"/>
      <c r="IH130" s="27"/>
      <c r="II130" s="27"/>
      <c r="IJ130" s="27"/>
      <c r="IK130" s="27"/>
      <c r="IL130" s="27"/>
      <c r="IM130" s="27"/>
      <c r="IN130" s="27"/>
      <c r="IO130" s="27"/>
      <c r="IP130" s="27"/>
      <c r="IQ130" s="27"/>
      <c r="IR130" s="27"/>
    </row>
    <row r="131" spans="1:252" s="7" customFormat="1" ht="36" customHeight="1" x14ac:dyDescent="0.2">
      <c r="A131" s="21" t="s">
        <v>99</v>
      </c>
      <c r="B131" s="22" t="s">
        <v>100</v>
      </c>
      <c r="C131" s="29" t="s">
        <v>38</v>
      </c>
      <c r="D131" s="29" t="s">
        <v>165</v>
      </c>
      <c r="E131" s="28" t="s">
        <v>158</v>
      </c>
      <c r="F131" s="28" t="s">
        <v>166</v>
      </c>
      <c r="G131" s="29" t="s">
        <v>42</v>
      </c>
      <c r="H131" s="29" t="s">
        <v>103</v>
      </c>
      <c r="I131" s="28" t="s">
        <v>104</v>
      </c>
      <c r="J131" s="29" t="s">
        <v>51</v>
      </c>
      <c r="K131" s="61">
        <v>6452526</v>
      </c>
      <c r="L131" s="51">
        <v>-180000</v>
      </c>
      <c r="M131" s="51">
        <v>0</v>
      </c>
      <c r="N131" s="51">
        <v>0</v>
      </c>
      <c r="O131" s="51">
        <f t="shared" si="8"/>
        <v>6272526</v>
      </c>
      <c r="P131" s="51">
        <v>5263621.1500000004</v>
      </c>
      <c r="Q131" s="51">
        <v>5263621.1500000004</v>
      </c>
      <c r="R131" s="51">
        <v>3566775.9</v>
      </c>
      <c r="S131" s="51"/>
      <c r="T131" s="51"/>
      <c r="U131" s="51"/>
      <c r="V131" s="51"/>
      <c r="W131" s="51"/>
      <c r="X131" s="52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27"/>
      <c r="IG131" s="27"/>
      <c r="IH131" s="27"/>
      <c r="II131" s="27"/>
      <c r="IJ131" s="27"/>
      <c r="IK131" s="27"/>
      <c r="IL131" s="27"/>
      <c r="IM131" s="27"/>
      <c r="IN131" s="27"/>
      <c r="IO131" s="27"/>
      <c r="IP131" s="27"/>
      <c r="IQ131" s="27"/>
      <c r="IR131" s="27"/>
    </row>
    <row r="132" spans="1:252" s="7" customFormat="1" ht="36" customHeight="1" x14ac:dyDescent="0.2">
      <c r="A132" s="21" t="s">
        <v>99</v>
      </c>
      <c r="B132" s="22" t="s">
        <v>100</v>
      </c>
      <c r="C132" s="29" t="s">
        <v>38</v>
      </c>
      <c r="D132" s="29" t="s">
        <v>165</v>
      </c>
      <c r="E132" s="28" t="s">
        <v>158</v>
      </c>
      <c r="F132" s="28" t="s">
        <v>166</v>
      </c>
      <c r="G132" s="29" t="s">
        <v>42</v>
      </c>
      <c r="H132" s="29" t="s">
        <v>103</v>
      </c>
      <c r="I132" s="28" t="s">
        <v>104</v>
      </c>
      <c r="J132" s="29" t="s">
        <v>128</v>
      </c>
      <c r="K132" s="61">
        <v>50000</v>
      </c>
      <c r="L132" s="51">
        <v>130000</v>
      </c>
      <c r="M132" s="51">
        <v>0</v>
      </c>
      <c r="N132" s="51">
        <v>0</v>
      </c>
      <c r="O132" s="51">
        <f t="shared" si="8"/>
        <v>180000</v>
      </c>
      <c r="P132" s="51">
        <v>126849</v>
      </c>
      <c r="Q132" s="51">
        <v>126849</v>
      </c>
      <c r="R132" s="51">
        <v>16599</v>
      </c>
      <c r="S132" s="51"/>
      <c r="T132" s="51"/>
      <c r="U132" s="51"/>
      <c r="V132" s="51"/>
      <c r="W132" s="51"/>
      <c r="X132" s="52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</row>
    <row r="133" spans="1:252" s="7" customFormat="1" ht="36" customHeight="1" x14ac:dyDescent="0.2">
      <c r="A133" s="21" t="s">
        <v>99</v>
      </c>
      <c r="B133" s="22" t="s">
        <v>100</v>
      </c>
      <c r="C133" s="29" t="s">
        <v>38</v>
      </c>
      <c r="D133" s="29" t="s">
        <v>165</v>
      </c>
      <c r="E133" s="28" t="s">
        <v>158</v>
      </c>
      <c r="F133" s="28" t="s">
        <v>166</v>
      </c>
      <c r="G133" s="29" t="s">
        <v>42</v>
      </c>
      <c r="H133" s="62" t="s">
        <v>56</v>
      </c>
      <c r="I133" s="65" t="s">
        <v>57</v>
      </c>
      <c r="J133" s="29" t="s">
        <v>51</v>
      </c>
      <c r="K133" s="61">
        <v>0</v>
      </c>
      <c r="L133" s="51">
        <f>680029-50000</f>
        <v>630029</v>
      </c>
      <c r="M133" s="51">
        <v>0</v>
      </c>
      <c r="N133" s="51">
        <v>0</v>
      </c>
      <c r="O133" s="51">
        <f t="shared" si="8"/>
        <v>630029</v>
      </c>
      <c r="P133" s="51">
        <v>283427.36</v>
      </c>
      <c r="Q133" s="51">
        <v>283427.36</v>
      </c>
      <c r="R133" s="51">
        <v>255961.58</v>
      </c>
      <c r="S133" s="51"/>
      <c r="T133" s="51"/>
      <c r="U133" s="51"/>
      <c r="V133" s="51"/>
      <c r="W133" s="51"/>
      <c r="X133" s="52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</row>
    <row r="134" spans="1:252" s="7" customFormat="1" ht="36" customHeight="1" x14ac:dyDescent="0.2">
      <c r="A134" s="21" t="s">
        <v>99</v>
      </c>
      <c r="B134" s="22" t="s">
        <v>100</v>
      </c>
      <c r="C134" s="29" t="s">
        <v>38</v>
      </c>
      <c r="D134" s="29" t="s">
        <v>165</v>
      </c>
      <c r="E134" s="28" t="s">
        <v>158</v>
      </c>
      <c r="F134" s="28" t="s">
        <v>166</v>
      </c>
      <c r="G134" s="29" t="s">
        <v>42</v>
      </c>
      <c r="H134" s="62" t="s">
        <v>56</v>
      </c>
      <c r="I134" s="65" t="s">
        <v>57</v>
      </c>
      <c r="J134" s="29" t="s">
        <v>128</v>
      </c>
      <c r="K134" s="61">
        <v>0</v>
      </c>
      <c r="L134" s="51">
        <v>42589</v>
      </c>
      <c r="M134" s="51">
        <v>0</v>
      </c>
      <c r="N134" s="51">
        <v>0</v>
      </c>
      <c r="O134" s="51">
        <f t="shared" si="8"/>
        <v>42589</v>
      </c>
      <c r="P134" s="51">
        <v>0</v>
      </c>
      <c r="Q134" s="51">
        <v>0</v>
      </c>
      <c r="R134" s="51">
        <v>0</v>
      </c>
      <c r="S134" s="51"/>
      <c r="T134" s="51"/>
      <c r="U134" s="51"/>
      <c r="V134" s="51"/>
      <c r="W134" s="51"/>
      <c r="X134" s="52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</row>
    <row r="135" spans="1:252" s="7" customFormat="1" ht="36" customHeight="1" x14ac:dyDescent="0.2">
      <c r="A135" s="21" t="s">
        <v>99</v>
      </c>
      <c r="B135" s="22" t="s">
        <v>100</v>
      </c>
      <c r="C135" s="29" t="s">
        <v>38</v>
      </c>
      <c r="D135" s="29" t="s">
        <v>165</v>
      </c>
      <c r="E135" s="28" t="s">
        <v>158</v>
      </c>
      <c r="F135" s="28" t="s">
        <v>166</v>
      </c>
      <c r="G135" s="29" t="s">
        <v>42</v>
      </c>
      <c r="H135" s="62" t="s">
        <v>136</v>
      </c>
      <c r="I135" s="63" t="s">
        <v>137</v>
      </c>
      <c r="J135" s="29" t="s">
        <v>51</v>
      </c>
      <c r="K135" s="61">
        <v>0</v>
      </c>
      <c r="L135" s="51">
        <v>110000</v>
      </c>
      <c r="M135" s="51">
        <v>0</v>
      </c>
      <c r="N135" s="51">
        <v>0</v>
      </c>
      <c r="O135" s="51">
        <f t="shared" si="8"/>
        <v>110000</v>
      </c>
      <c r="P135" s="51">
        <v>0</v>
      </c>
      <c r="Q135" s="51">
        <v>0</v>
      </c>
      <c r="R135" s="51">
        <v>0</v>
      </c>
      <c r="S135" s="51"/>
      <c r="T135" s="51"/>
      <c r="U135" s="51"/>
      <c r="V135" s="51"/>
      <c r="W135" s="51"/>
      <c r="X135" s="52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  <c r="IO135" s="27"/>
      <c r="IP135" s="27"/>
      <c r="IQ135" s="27"/>
      <c r="IR135" s="27"/>
    </row>
    <row r="136" spans="1:252" s="7" customFormat="1" ht="36" customHeight="1" x14ac:dyDescent="0.2">
      <c r="A136" s="21" t="s">
        <v>99</v>
      </c>
      <c r="B136" s="22" t="s">
        <v>100</v>
      </c>
      <c r="C136" s="29" t="s">
        <v>38</v>
      </c>
      <c r="D136" s="29" t="s">
        <v>167</v>
      </c>
      <c r="E136" s="28" t="s">
        <v>158</v>
      </c>
      <c r="F136" s="28" t="s">
        <v>168</v>
      </c>
      <c r="G136" s="29" t="s">
        <v>42</v>
      </c>
      <c r="H136" s="29" t="s">
        <v>43</v>
      </c>
      <c r="I136" s="28" t="s">
        <v>44</v>
      </c>
      <c r="J136" s="29" t="s">
        <v>128</v>
      </c>
      <c r="K136" s="61">
        <v>200000</v>
      </c>
      <c r="L136" s="51">
        <v>-120000</v>
      </c>
      <c r="M136" s="51">
        <v>0</v>
      </c>
      <c r="N136" s="51">
        <v>0</v>
      </c>
      <c r="O136" s="51">
        <f t="shared" si="8"/>
        <v>80000</v>
      </c>
      <c r="P136" s="51"/>
      <c r="Q136" s="51"/>
      <c r="R136" s="51"/>
      <c r="S136" s="51">
        <v>22050</v>
      </c>
      <c r="T136" s="51">
        <v>22050</v>
      </c>
      <c r="U136" s="51">
        <v>0</v>
      </c>
      <c r="V136" s="51"/>
      <c r="W136" s="51"/>
      <c r="X136" s="52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</row>
    <row r="137" spans="1:252" s="7" customFormat="1" ht="36" customHeight="1" x14ac:dyDescent="0.2">
      <c r="A137" s="21" t="s">
        <v>99</v>
      </c>
      <c r="B137" s="22" t="s">
        <v>100</v>
      </c>
      <c r="C137" s="29" t="s">
        <v>38</v>
      </c>
      <c r="D137" s="29" t="s">
        <v>167</v>
      </c>
      <c r="E137" s="28" t="s">
        <v>158</v>
      </c>
      <c r="F137" s="28" t="s">
        <v>168</v>
      </c>
      <c r="G137" s="29" t="s">
        <v>42</v>
      </c>
      <c r="H137" s="29" t="s">
        <v>52</v>
      </c>
      <c r="I137" s="28" t="s">
        <v>53</v>
      </c>
      <c r="J137" s="29" t="s">
        <v>51</v>
      </c>
      <c r="K137" s="61">
        <v>100000</v>
      </c>
      <c r="L137" s="51">
        <v>0</v>
      </c>
      <c r="M137" s="51">
        <v>0</v>
      </c>
      <c r="N137" s="51">
        <v>0</v>
      </c>
      <c r="O137" s="51">
        <f t="shared" si="8"/>
        <v>100000</v>
      </c>
      <c r="P137" s="51"/>
      <c r="Q137" s="51"/>
      <c r="R137" s="51"/>
      <c r="S137" s="51">
        <v>0</v>
      </c>
      <c r="T137" s="51">
        <v>0</v>
      </c>
      <c r="U137" s="51">
        <v>0</v>
      </c>
      <c r="V137" s="51"/>
      <c r="W137" s="51"/>
      <c r="X137" s="52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</row>
    <row r="138" spans="1:252" s="7" customFormat="1" ht="36" customHeight="1" x14ac:dyDescent="0.2">
      <c r="A138" s="21" t="s">
        <v>99</v>
      </c>
      <c r="B138" s="22" t="s">
        <v>100</v>
      </c>
      <c r="C138" s="29" t="s">
        <v>38</v>
      </c>
      <c r="D138" s="29" t="s">
        <v>167</v>
      </c>
      <c r="E138" s="28" t="s">
        <v>158</v>
      </c>
      <c r="F138" s="28" t="s">
        <v>168</v>
      </c>
      <c r="G138" s="29" t="s">
        <v>42</v>
      </c>
      <c r="H138" s="29" t="s">
        <v>103</v>
      </c>
      <c r="I138" s="28" t="s">
        <v>104</v>
      </c>
      <c r="J138" s="29" t="s">
        <v>51</v>
      </c>
      <c r="K138" s="61">
        <v>1104334</v>
      </c>
      <c r="L138" s="61">
        <v>0</v>
      </c>
      <c r="M138" s="51">
        <v>0</v>
      </c>
      <c r="N138" s="51">
        <v>0</v>
      </c>
      <c r="O138" s="51">
        <f t="shared" si="8"/>
        <v>1104334</v>
      </c>
      <c r="P138" s="51"/>
      <c r="Q138" s="51"/>
      <c r="R138" s="51"/>
      <c r="S138" s="51">
        <v>982884.08</v>
      </c>
      <c r="T138" s="51">
        <v>982884.08</v>
      </c>
      <c r="U138" s="51">
        <v>774039.64</v>
      </c>
      <c r="V138" s="51"/>
      <c r="W138" s="51"/>
      <c r="X138" s="52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</row>
    <row r="139" spans="1:252" s="7" customFormat="1" ht="36" customHeight="1" x14ac:dyDescent="0.2">
      <c r="A139" s="21" t="s">
        <v>99</v>
      </c>
      <c r="B139" s="22" t="s">
        <v>100</v>
      </c>
      <c r="C139" s="29" t="s">
        <v>38</v>
      </c>
      <c r="D139" s="29" t="s">
        <v>169</v>
      </c>
      <c r="E139" s="28" t="s">
        <v>158</v>
      </c>
      <c r="F139" s="28" t="s">
        <v>170</v>
      </c>
      <c r="G139" s="29" t="s">
        <v>42</v>
      </c>
      <c r="H139" s="29" t="s">
        <v>43</v>
      </c>
      <c r="I139" s="28" t="s">
        <v>44</v>
      </c>
      <c r="J139" s="29" t="s">
        <v>128</v>
      </c>
      <c r="K139" s="61">
        <v>30000</v>
      </c>
      <c r="L139" s="51">
        <v>-30000</v>
      </c>
      <c r="M139" s="51">
        <v>0</v>
      </c>
      <c r="N139" s="51">
        <v>0</v>
      </c>
      <c r="O139" s="51">
        <f t="shared" si="8"/>
        <v>0</v>
      </c>
      <c r="P139" s="51"/>
      <c r="Q139" s="51"/>
      <c r="R139" s="51"/>
      <c r="S139" s="51"/>
      <c r="T139" s="51"/>
      <c r="U139" s="51"/>
      <c r="V139" s="51">
        <v>0</v>
      </c>
      <c r="W139" s="51">
        <v>0</v>
      </c>
      <c r="X139" s="52">
        <v>0</v>
      </c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</row>
    <row r="140" spans="1:252" s="7" customFormat="1" ht="36" customHeight="1" x14ac:dyDescent="0.2">
      <c r="A140" s="21" t="s">
        <v>99</v>
      </c>
      <c r="B140" s="22" t="s">
        <v>100</v>
      </c>
      <c r="C140" s="29" t="s">
        <v>38</v>
      </c>
      <c r="D140" s="29" t="s">
        <v>169</v>
      </c>
      <c r="E140" s="28" t="s">
        <v>158</v>
      </c>
      <c r="F140" s="28" t="s">
        <v>170</v>
      </c>
      <c r="G140" s="29" t="s">
        <v>42</v>
      </c>
      <c r="H140" s="29" t="s">
        <v>103</v>
      </c>
      <c r="I140" s="28" t="s">
        <v>104</v>
      </c>
      <c r="J140" s="29" t="s">
        <v>51</v>
      </c>
      <c r="K140" s="61">
        <v>2040840</v>
      </c>
      <c r="L140" s="51">
        <v>0</v>
      </c>
      <c r="M140" s="51">
        <v>0</v>
      </c>
      <c r="N140" s="51">
        <v>0</v>
      </c>
      <c r="O140" s="51">
        <f t="shared" si="8"/>
        <v>2040840</v>
      </c>
      <c r="P140" s="51"/>
      <c r="Q140" s="51"/>
      <c r="R140" s="51"/>
      <c r="S140" s="51"/>
      <c r="T140" s="51"/>
      <c r="U140" s="51"/>
      <c r="V140" s="51">
        <v>1464611.56</v>
      </c>
      <c r="W140" s="51">
        <v>1464611.56</v>
      </c>
      <c r="X140" s="52">
        <v>1384661.73</v>
      </c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</row>
    <row r="141" spans="1:252" s="7" customFormat="1" ht="36" customHeight="1" x14ac:dyDescent="0.2">
      <c r="A141" s="21" t="s">
        <v>99</v>
      </c>
      <c r="B141" s="22" t="s">
        <v>100</v>
      </c>
      <c r="C141" s="29" t="s">
        <v>38</v>
      </c>
      <c r="D141" s="29" t="s">
        <v>169</v>
      </c>
      <c r="E141" s="28" t="s">
        <v>158</v>
      </c>
      <c r="F141" s="28" t="s">
        <v>170</v>
      </c>
      <c r="G141" s="29" t="s">
        <v>42</v>
      </c>
      <c r="H141" s="62" t="s">
        <v>56</v>
      </c>
      <c r="I141" s="65" t="s">
        <v>57</v>
      </c>
      <c r="J141" s="29" t="s">
        <v>51</v>
      </c>
      <c r="K141" s="61">
        <v>0</v>
      </c>
      <c r="L141" s="51">
        <v>1450</v>
      </c>
      <c r="M141" s="51">
        <v>0</v>
      </c>
      <c r="N141" s="51">
        <v>0</v>
      </c>
      <c r="O141" s="51">
        <f t="shared" si="8"/>
        <v>1450</v>
      </c>
      <c r="P141" s="51"/>
      <c r="Q141" s="51"/>
      <c r="R141" s="51"/>
      <c r="S141" s="51"/>
      <c r="T141" s="51"/>
      <c r="U141" s="51"/>
      <c r="V141" s="51">
        <v>0</v>
      </c>
      <c r="W141" s="51">
        <v>0</v>
      </c>
      <c r="X141" s="52">
        <v>0</v>
      </c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7"/>
      <c r="IO141" s="27"/>
      <c r="IP141" s="27"/>
      <c r="IQ141" s="27"/>
      <c r="IR141" s="27"/>
    </row>
    <row r="142" spans="1:252" s="7" customFormat="1" ht="36" customHeight="1" x14ac:dyDescent="0.2">
      <c r="A142" s="21" t="s">
        <v>99</v>
      </c>
      <c r="B142" s="22" t="s">
        <v>100</v>
      </c>
      <c r="C142" s="29" t="s">
        <v>38</v>
      </c>
      <c r="D142" s="29" t="s">
        <v>171</v>
      </c>
      <c r="E142" s="28" t="s">
        <v>158</v>
      </c>
      <c r="F142" s="28" t="s">
        <v>172</v>
      </c>
      <c r="G142" s="29" t="s">
        <v>42</v>
      </c>
      <c r="H142" s="29" t="s">
        <v>43</v>
      </c>
      <c r="I142" s="28" t="s">
        <v>44</v>
      </c>
      <c r="J142" s="29" t="s">
        <v>128</v>
      </c>
      <c r="K142" s="61">
        <v>50000</v>
      </c>
      <c r="L142" s="51">
        <v>-1853.68</v>
      </c>
      <c r="M142" s="51">
        <v>0</v>
      </c>
      <c r="N142" s="51">
        <v>0</v>
      </c>
      <c r="O142" s="51">
        <f t="shared" si="8"/>
        <v>48146.32</v>
      </c>
      <c r="P142" s="51">
        <v>48146.32</v>
      </c>
      <c r="Q142" s="51">
        <v>48146.32</v>
      </c>
      <c r="R142" s="51">
        <v>31906.32</v>
      </c>
      <c r="S142" s="51"/>
      <c r="T142" s="51"/>
      <c r="U142" s="51"/>
      <c r="V142" s="51"/>
      <c r="W142" s="51"/>
      <c r="X142" s="52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  <c r="IR142" s="27"/>
    </row>
    <row r="143" spans="1:252" s="7" customFormat="1" ht="36" customHeight="1" x14ac:dyDescent="0.2">
      <c r="A143" s="21" t="s">
        <v>99</v>
      </c>
      <c r="B143" s="22" t="s">
        <v>100</v>
      </c>
      <c r="C143" s="29" t="s">
        <v>38</v>
      </c>
      <c r="D143" s="29" t="s">
        <v>171</v>
      </c>
      <c r="E143" s="28" t="s">
        <v>158</v>
      </c>
      <c r="F143" s="28" t="s">
        <v>172</v>
      </c>
      <c r="G143" s="29" t="s">
        <v>42</v>
      </c>
      <c r="H143" s="29" t="s">
        <v>103</v>
      </c>
      <c r="I143" s="28" t="s">
        <v>104</v>
      </c>
      <c r="J143" s="29" t="s">
        <v>51</v>
      </c>
      <c r="K143" s="61">
        <v>10840000</v>
      </c>
      <c r="L143" s="51">
        <v>-1300000</v>
      </c>
      <c r="M143" s="51">
        <v>0</v>
      </c>
      <c r="N143" s="51">
        <v>-689784.13</v>
      </c>
      <c r="O143" s="51">
        <f t="shared" si="8"/>
        <v>8850215.8699999992</v>
      </c>
      <c r="P143" s="51">
        <v>7849830.2199999997</v>
      </c>
      <c r="Q143" s="51">
        <v>7849830.2199999997</v>
      </c>
      <c r="R143" s="51">
        <v>7844466.2199999997</v>
      </c>
      <c r="S143" s="51"/>
      <c r="T143" s="51"/>
      <c r="U143" s="51"/>
      <c r="V143" s="51"/>
      <c r="W143" s="51"/>
      <c r="X143" s="52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  <c r="IO143" s="27"/>
      <c r="IP143" s="27"/>
      <c r="IQ143" s="27"/>
      <c r="IR143" s="27"/>
    </row>
    <row r="144" spans="1:252" s="7" customFormat="1" ht="36" customHeight="1" x14ac:dyDescent="0.2">
      <c r="A144" s="21" t="s">
        <v>99</v>
      </c>
      <c r="B144" s="22" t="s">
        <v>100</v>
      </c>
      <c r="C144" s="29" t="s">
        <v>38</v>
      </c>
      <c r="D144" s="29" t="s">
        <v>171</v>
      </c>
      <c r="E144" s="28" t="s">
        <v>158</v>
      </c>
      <c r="F144" s="28" t="s">
        <v>172</v>
      </c>
      <c r="G144" s="29" t="s">
        <v>42</v>
      </c>
      <c r="H144" s="62" t="s">
        <v>56</v>
      </c>
      <c r="I144" s="65" t="s">
        <v>57</v>
      </c>
      <c r="J144" s="29" t="s">
        <v>51</v>
      </c>
      <c r="K144" s="61">
        <v>0</v>
      </c>
      <c r="L144" s="51">
        <v>328650</v>
      </c>
      <c r="M144" s="51">
        <v>0</v>
      </c>
      <c r="N144" s="51">
        <v>-128650</v>
      </c>
      <c r="O144" s="51">
        <f t="shared" si="8"/>
        <v>200000</v>
      </c>
      <c r="P144" s="51">
        <v>199125.04</v>
      </c>
      <c r="Q144" s="51">
        <v>199125.04</v>
      </c>
      <c r="R144" s="51">
        <v>199125.04</v>
      </c>
      <c r="S144" s="51"/>
      <c r="T144" s="51"/>
      <c r="U144" s="51"/>
      <c r="V144" s="51"/>
      <c r="W144" s="51"/>
      <c r="X144" s="52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7"/>
      <c r="IO144" s="27"/>
      <c r="IP144" s="27"/>
      <c r="IQ144" s="27"/>
      <c r="IR144" s="27"/>
    </row>
    <row r="145" spans="1:252" s="7" customFormat="1" ht="36" customHeight="1" x14ac:dyDescent="0.2">
      <c r="A145" s="21" t="s">
        <v>99</v>
      </c>
      <c r="B145" s="22" t="s">
        <v>100</v>
      </c>
      <c r="C145" s="29" t="s">
        <v>38</v>
      </c>
      <c r="D145" s="29" t="s">
        <v>171</v>
      </c>
      <c r="E145" s="28" t="s">
        <v>158</v>
      </c>
      <c r="F145" s="28" t="s">
        <v>172</v>
      </c>
      <c r="G145" s="29" t="s">
        <v>42</v>
      </c>
      <c r="H145" s="62" t="s">
        <v>56</v>
      </c>
      <c r="I145" s="65" t="s">
        <v>57</v>
      </c>
      <c r="J145" s="29" t="s">
        <v>128</v>
      </c>
      <c r="K145" s="61">
        <v>0</v>
      </c>
      <c r="L145" s="51">
        <v>396270</v>
      </c>
      <c r="M145" s="51">
        <v>0</v>
      </c>
      <c r="N145" s="51">
        <v>-396270</v>
      </c>
      <c r="O145" s="51">
        <f t="shared" si="8"/>
        <v>0</v>
      </c>
      <c r="P145" s="51">
        <v>0</v>
      </c>
      <c r="Q145" s="51">
        <v>0</v>
      </c>
      <c r="R145" s="51">
        <v>0</v>
      </c>
      <c r="S145" s="51"/>
      <c r="T145" s="51"/>
      <c r="U145" s="51"/>
      <c r="V145" s="51"/>
      <c r="W145" s="51"/>
      <c r="X145" s="52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  <c r="IF145" s="27"/>
      <c r="IG145" s="27"/>
      <c r="IH145" s="27"/>
      <c r="II145" s="27"/>
      <c r="IJ145" s="27"/>
      <c r="IK145" s="27"/>
      <c r="IL145" s="27"/>
      <c r="IM145" s="27"/>
      <c r="IN145" s="27"/>
      <c r="IO145" s="27"/>
      <c r="IP145" s="27"/>
      <c r="IQ145" s="27"/>
      <c r="IR145" s="27"/>
    </row>
    <row r="146" spans="1:252" s="7" customFormat="1" ht="36" customHeight="1" x14ac:dyDescent="0.2">
      <c r="A146" s="21" t="s">
        <v>99</v>
      </c>
      <c r="B146" s="22" t="s">
        <v>100</v>
      </c>
      <c r="C146" s="29" t="s">
        <v>38</v>
      </c>
      <c r="D146" s="29" t="s">
        <v>173</v>
      </c>
      <c r="E146" s="28" t="s">
        <v>158</v>
      </c>
      <c r="F146" s="28" t="s">
        <v>174</v>
      </c>
      <c r="G146" s="29" t="s">
        <v>42</v>
      </c>
      <c r="H146" s="29" t="s">
        <v>43</v>
      </c>
      <c r="I146" s="28" t="s">
        <v>44</v>
      </c>
      <c r="J146" s="29" t="s">
        <v>128</v>
      </c>
      <c r="K146" s="61">
        <v>10000</v>
      </c>
      <c r="L146" s="51">
        <v>-2063.59</v>
      </c>
      <c r="M146" s="51">
        <v>0</v>
      </c>
      <c r="N146" s="51">
        <v>0</v>
      </c>
      <c r="O146" s="51">
        <f t="shared" si="8"/>
        <v>7936.41</v>
      </c>
      <c r="P146" s="51"/>
      <c r="Q146" s="51"/>
      <c r="R146" s="51"/>
      <c r="S146" s="51">
        <v>7936.41</v>
      </c>
      <c r="T146" s="51">
        <v>7936.41</v>
      </c>
      <c r="U146" s="51">
        <v>7936.41</v>
      </c>
      <c r="V146" s="51"/>
      <c r="W146" s="51"/>
      <c r="X146" s="52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  <c r="HF146" s="27"/>
      <c r="HG146" s="27"/>
      <c r="HH146" s="27"/>
      <c r="HI146" s="27"/>
      <c r="HJ146" s="27"/>
      <c r="HK146" s="27"/>
      <c r="HL146" s="27"/>
      <c r="HM146" s="27"/>
      <c r="HN146" s="27"/>
      <c r="HO146" s="27"/>
      <c r="HP146" s="27"/>
      <c r="HQ146" s="27"/>
      <c r="HR146" s="27"/>
      <c r="HS146" s="27"/>
      <c r="HT146" s="27"/>
      <c r="HU146" s="27"/>
      <c r="HV146" s="27"/>
      <c r="HW146" s="27"/>
      <c r="HX146" s="27"/>
      <c r="HY146" s="27"/>
      <c r="HZ146" s="27"/>
      <c r="IA146" s="27"/>
      <c r="IB146" s="27"/>
      <c r="IC146" s="27"/>
      <c r="ID146" s="27"/>
      <c r="IE146" s="27"/>
      <c r="IF146" s="27"/>
      <c r="IG146" s="27"/>
      <c r="IH146" s="27"/>
      <c r="II146" s="27"/>
      <c r="IJ146" s="27"/>
      <c r="IK146" s="27"/>
      <c r="IL146" s="27"/>
      <c r="IM146" s="27"/>
      <c r="IN146" s="27"/>
      <c r="IO146" s="27"/>
      <c r="IP146" s="27"/>
      <c r="IQ146" s="27"/>
      <c r="IR146" s="27"/>
    </row>
    <row r="147" spans="1:252" s="7" customFormat="1" ht="36" customHeight="1" x14ac:dyDescent="0.2">
      <c r="A147" s="21" t="s">
        <v>99</v>
      </c>
      <c r="B147" s="22" t="s">
        <v>100</v>
      </c>
      <c r="C147" s="29" t="s">
        <v>38</v>
      </c>
      <c r="D147" s="29" t="s">
        <v>173</v>
      </c>
      <c r="E147" s="28" t="s">
        <v>158</v>
      </c>
      <c r="F147" s="28" t="s">
        <v>174</v>
      </c>
      <c r="G147" s="29" t="s">
        <v>42</v>
      </c>
      <c r="H147" s="29" t="s">
        <v>103</v>
      </c>
      <c r="I147" s="28" t="s">
        <v>104</v>
      </c>
      <c r="J147" s="29" t="s">
        <v>51</v>
      </c>
      <c r="K147" s="61">
        <v>70000</v>
      </c>
      <c r="L147" s="51">
        <v>0</v>
      </c>
      <c r="M147" s="51">
        <v>0</v>
      </c>
      <c r="N147" s="51">
        <v>0</v>
      </c>
      <c r="O147" s="51">
        <f t="shared" si="8"/>
        <v>70000</v>
      </c>
      <c r="P147" s="51"/>
      <c r="Q147" s="51"/>
      <c r="R147" s="51"/>
      <c r="S147" s="51">
        <v>8149.39</v>
      </c>
      <c r="T147" s="51">
        <v>8149.39</v>
      </c>
      <c r="U147" s="51">
        <v>8149.39</v>
      </c>
      <c r="V147" s="51"/>
      <c r="W147" s="51"/>
      <c r="X147" s="52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  <c r="IF147" s="27"/>
      <c r="IG147" s="27"/>
      <c r="IH147" s="27"/>
      <c r="II147" s="27"/>
      <c r="IJ147" s="27"/>
      <c r="IK147" s="27"/>
      <c r="IL147" s="27"/>
      <c r="IM147" s="27"/>
      <c r="IN147" s="27"/>
      <c r="IO147" s="27"/>
      <c r="IP147" s="27"/>
      <c r="IQ147" s="27"/>
      <c r="IR147" s="27"/>
    </row>
    <row r="148" spans="1:252" s="7" customFormat="1" ht="36" customHeight="1" x14ac:dyDescent="0.2">
      <c r="A148" s="21" t="s">
        <v>99</v>
      </c>
      <c r="B148" s="22" t="s">
        <v>100</v>
      </c>
      <c r="C148" s="29" t="s">
        <v>38</v>
      </c>
      <c r="D148" s="29" t="s">
        <v>175</v>
      </c>
      <c r="E148" s="28" t="s">
        <v>158</v>
      </c>
      <c r="F148" s="28" t="s">
        <v>176</v>
      </c>
      <c r="G148" s="29" t="s">
        <v>42</v>
      </c>
      <c r="H148" s="29" t="s">
        <v>43</v>
      </c>
      <c r="I148" s="28" t="s">
        <v>44</v>
      </c>
      <c r="J148" s="29" t="s">
        <v>128</v>
      </c>
      <c r="K148" s="61">
        <v>10000</v>
      </c>
      <c r="L148" s="51">
        <v>-943.37</v>
      </c>
      <c r="M148" s="51">
        <v>0</v>
      </c>
      <c r="N148" s="51">
        <v>0</v>
      </c>
      <c r="O148" s="51">
        <f t="shared" si="8"/>
        <v>9056.6299999999992</v>
      </c>
      <c r="P148" s="51"/>
      <c r="Q148" s="51"/>
      <c r="R148" s="51"/>
      <c r="S148" s="51"/>
      <c r="T148" s="51"/>
      <c r="U148" s="51"/>
      <c r="V148" s="51">
        <v>2206.63</v>
      </c>
      <c r="W148" s="51">
        <v>2206.63</v>
      </c>
      <c r="X148" s="52">
        <v>2206.63</v>
      </c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  <c r="IF148" s="27"/>
      <c r="IG148" s="27"/>
      <c r="IH148" s="27"/>
      <c r="II148" s="27"/>
      <c r="IJ148" s="27"/>
      <c r="IK148" s="27"/>
      <c r="IL148" s="27"/>
      <c r="IM148" s="27"/>
      <c r="IN148" s="27"/>
      <c r="IO148" s="27"/>
      <c r="IP148" s="27"/>
      <c r="IQ148" s="27"/>
      <c r="IR148" s="27"/>
    </row>
    <row r="149" spans="1:252" s="7" customFormat="1" ht="36" customHeight="1" x14ac:dyDescent="0.2">
      <c r="A149" s="21" t="s">
        <v>99</v>
      </c>
      <c r="B149" s="22" t="s">
        <v>100</v>
      </c>
      <c r="C149" s="29" t="s">
        <v>38</v>
      </c>
      <c r="D149" s="29" t="s">
        <v>175</v>
      </c>
      <c r="E149" s="28" t="s">
        <v>158</v>
      </c>
      <c r="F149" s="28" t="s">
        <v>176</v>
      </c>
      <c r="G149" s="29" t="s">
        <v>42</v>
      </c>
      <c r="H149" s="29" t="s">
        <v>103</v>
      </c>
      <c r="I149" s="28" t="s">
        <v>104</v>
      </c>
      <c r="J149" s="29" t="s">
        <v>51</v>
      </c>
      <c r="K149" s="61">
        <v>1583500</v>
      </c>
      <c r="L149" s="51">
        <v>-600000</v>
      </c>
      <c r="M149" s="51">
        <v>0</v>
      </c>
      <c r="N149" s="51">
        <v>-366776.57</v>
      </c>
      <c r="O149" s="51">
        <f t="shared" si="8"/>
        <v>616723.42999999993</v>
      </c>
      <c r="P149" s="51"/>
      <c r="Q149" s="51"/>
      <c r="R149" s="51"/>
      <c r="S149" s="51"/>
      <c r="T149" s="51"/>
      <c r="U149" s="51"/>
      <c r="V149" s="51">
        <v>440653.53</v>
      </c>
      <c r="W149" s="51">
        <v>440653.53</v>
      </c>
      <c r="X149" s="52">
        <v>440653.53</v>
      </c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  <c r="IF149" s="27"/>
      <c r="IG149" s="27"/>
      <c r="IH149" s="27"/>
      <c r="II149" s="27"/>
      <c r="IJ149" s="27"/>
      <c r="IK149" s="27"/>
      <c r="IL149" s="27"/>
      <c r="IM149" s="27"/>
      <c r="IN149" s="27"/>
      <c r="IO149" s="27"/>
      <c r="IP149" s="27"/>
      <c r="IQ149" s="27"/>
      <c r="IR149" s="27"/>
    </row>
    <row r="150" spans="1:252" s="7" customFormat="1" ht="36" customHeight="1" x14ac:dyDescent="0.2">
      <c r="A150" s="21" t="s">
        <v>99</v>
      </c>
      <c r="B150" s="22" t="s">
        <v>100</v>
      </c>
      <c r="C150" s="29" t="s">
        <v>38</v>
      </c>
      <c r="D150" s="29" t="s">
        <v>175</v>
      </c>
      <c r="E150" s="28" t="s">
        <v>158</v>
      </c>
      <c r="F150" s="28" t="s">
        <v>176</v>
      </c>
      <c r="G150" s="29" t="s">
        <v>42</v>
      </c>
      <c r="H150" s="62" t="s">
        <v>56</v>
      </c>
      <c r="I150" s="65" t="s">
        <v>57</v>
      </c>
      <c r="J150" s="29" t="s">
        <v>51</v>
      </c>
      <c r="K150" s="61">
        <v>0</v>
      </c>
      <c r="L150" s="51">
        <v>57069</v>
      </c>
      <c r="M150" s="51">
        <v>0</v>
      </c>
      <c r="N150" s="51">
        <v>-57068.6</v>
      </c>
      <c r="O150" s="51">
        <f t="shared" si="8"/>
        <v>0.40000000000145519</v>
      </c>
      <c r="P150" s="51"/>
      <c r="Q150" s="51"/>
      <c r="R150" s="51"/>
      <c r="S150" s="51"/>
      <c r="T150" s="51"/>
      <c r="U150" s="51"/>
      <c r="V150" s="51">
        <v>0</v>
      </c>
      <c r="W150" s="51">
        <v>0</v>
      </c>
      <c r="X150" s="52">
        <v>0</v>
      </c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  <c r="IF150" s="27"/>
      <c r="IG150" s="27"/>
      <c r="IH150" s="27"/>
      <c r="II150" s="27"/>
      <c r="IJ150" s="27"/>
      <c r="IK150" s="27"/>
      <c r="IL150" s="27"/>
      <c r="IM150" s="27"/>
      <c r="IN150" s="27"/>
      <c r="IO150" s="27"/>
      <c r="IP150" s="27"/>
      <c r="IQ150" s="27"/>
      <c r="IR150" s="27"/>
    </row>
    <row r="151" spans="1:252" s="7" customFormat="1" ht="36" customHeight="1" x14ac:dyDescent="0.2">
      <c r="A151" s="21" t="s">
        <v>99</v>
      </c>
      <c r="B151" s="22" t="s">
        <v>100</v>
      </c>
      <c r="C151" s="29" t="s">
        <v>38</v>
      </c>
      <c r="D151" s="29" t="s">
        <v>175</v>
      </c>
      <c r="E151" s="28" t="s">
        <v>158</v>
      </c>
      <c r="F151" s="28" t="s">
        <v>176</v>
      </c>
      <c r="G151" s="29" t="s">
        <v>42</v>
      </c>
      <c r="H151" s="62" t="s">
        <v>56</v>
      </c>
      <c r="I151" s="65" t="s">
        <v>57</v>
      </c>
      <c r="J151" s="29" t="s">
        <v>128</v>
      </c>
      <c r="K151" s="61">
        <v>0</v>
      </c>
      <c r="L151" s="51">
        <v>180030</v>
      </c>
      <c r="M151" s="51">
        <v>0</v>
      </c>
      <c r="N151" s="51">
        <v>-180030</v>
      </c>
      <c r="O151" s="51">
        <f t="shared" si="8"/>
        <v>0</v>
      </c>
      <c r="P151" s="51"/>
      <c r="Q151" s="51"/>
      <c r="R151" s="51"/>
      <c r="S151" s="51"/>
      <c r="T151" s="51"/>
      <c r="U151" s="51"/>
      <c r="V151" s="51">
        <v>0</v>
      </c>
      <c r="W151" s="51">
        <v>0</v>
      </c>
      <c r="X151" s="52">
        <v>0</v>
      </c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  <c r="IL151" s="27"/>
      <c r="IM151" s="27"/>
      <c r="IN151" s="27"/>
      <c r="IO151" s="27"/>
      <c r="IP151" s="27"/>
      <c r="IQ151" s="27"/>
      <c r="IR151" s="27"/>
    </row>
    <row r="152" spans="1:252" s="7" customFormat="1" ht="36" customHeight="1" x14ac:dyDescent="0.2">
      <c r="A152" s="21" t="s">
        <v>99</v>
      </c>
      <c r="B152" s="22" t="s">
        <v>100</v>
      </c>
      <c r="C152" s="29" t="s">
        <v>38</v>
      </c>
      <c r="D152" s="29" t="s">
        <v>177</v>
      </c>
      <c r="E152" s="28" t="s">
        <v>158</v>
      </c>
      <c r="F152" s="28" t="s">
        <v>178</v>
      </c>
      <c r="G152" s="29" t="s">
        <v>42</v>
      </c>
      <c r="H152" s="29" t="s">
        <v>43</v>
      </c>
      <c r="I152" s="28" t="s">
        <v>44</v>
      </c>
      <c r="J152" s="29" t="s">
        <v>128</v>
      </c>
      <c r="K152" s="61">
        <v>200000</v>
      </c>
      <c r="L152" s="51">
        <v>-291.56</v>
      </c>
      <c r="M152" s="51">
        <v>0</v>
      </c>
      <c r="N152" s="51">
        <v>0</v>
      </c>
      <c r="O152" s="51">
        <f t="shared" si="8"/>
        <v>199708.44</v>
      </c>
      <c r="P152" s="51">
        <v>181318.9</v>
      </c>
      <c r="Q152" s="51">
        <v>181318.9</v>
      </c>
      <c r="R152" s="51">
        <v>175598.9</v>
      </c>
      <c r="S152" s="51"/>
      <c r="T152" s="51"/>
      <c r="U152" s="51"/>
      <c r="V152" s="51"/>
      <c r="W152" s="51"/>
      <c r="X152" s="52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  <c r="IF152" s="27"/>
      <c r="IG152" s="27"/>
      <c r="IH152" s="27"/>
      <c r="II152" s="27"/>
      <c r="IJ152" s="27"/>
      <c r="IK152" s="27"/>
      <c r="IL152" s="27"/>
      <c r="IM152" s="27"/>
      <c r="IN152" s="27"/>
      <c r="IO152" s="27"/>
      <c r="IP152" s="27"/>
      <c r="IQ152" s="27"/>
      <c r="IR152" s="27"/>
    </row>
    <row r="153" spans="1:252" s="7" customFormat="1" ht="36" customHeight="1" x14ac:dyDescent="0.2">
      <c r="A153" s="21" t="s">
        <v>99</v>
      </c>
      <c r="B153" s="22" t="s">
        <v>100</v>
      </c>
      <c r="C153" s="29" t="s">
        <v>38</v>
      </c>
      <c r="D153" s="29" t="s">
        <v>177</v>
      </c>
      <c r="E153" s="28" t="s">
        <v>158</v>
      </c>
      <c r="F153" s="28" t="s">
        <v>178</v>
      </c>
      <c r="G153" s="29" t="s">
        <v>42</v>
      </c>
      <c r="H153" s="29" t="s">
        <v>103</v>
      </c>
      <c r="I153" s="28" t="s">
        <v>104</v>
      </c>
      <c r="J153" s="29" t="s">
        <v>128</v>
      </c>
      <c r="K153" s="61">
        <v>0</v>
      </c>
      <c r="L153" s="51">
        <v>68807</v>
      </c>
      <c r="M153" s="51">
        <v>0</v>
      </c>
      <c r="N153" s="51">
        <v>0</v>
      </c>
      <c r="O153" s="51">
        <f t="shared" si="8"/>
        <v>68807</v>
      </c>
      <c r="P153" s="51">
        <v>68806.27</v>
      </c>
      <c r="Q153" s="51">
        <v>68806.27</v>
      </c>
      <c r="R153" s="51">
        <v>68806.27</v>
      </c>
      <c r="S153" s="51"/>
      <c r="T153" s="51"/>
      <c r="U153" s="51"/>
      <c r="V153" s="51"/>
      <c r="W153" s="51"/>
      <c r="X153" s="52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  <c r="IF153" s="27"/>
      <c r="IG153" s="27"/>
      <c r="IH153" s="27"/>
      <c r="II153" s="27"/>
      <c r="IJ153" s="27"/>
      <c r="IK153" s="27"/>
      <c r="IL153" s="27"/>
      <c r="IM153" s="27"/>
      <c r="IN153" s="27"/>
      <c r="IO153" s="27"/>
      <c r="IP153" s="27"/>
      <c r="IQ153" s="27"/>
      <c r="IR153" s="27"/>
    </row>
    <row r="154" spans="1:252" s="7" customFormat="1" ht="36" customHeight="1" x14ac:dyDescent="0.2">
      <c r="A154" s="21" t="s">
        <v>99</v>
      </c>
      <c r="B154" s="22" t="s">
        <v>100</v>
      </c>
      <c r="C154" s="29" t="s">
        <v>38</v>
      </c>
      <c r="D154" s="29" t="s">
        <v>177</v>
      </c>
      <c r="E154" s="28" t="s">
        <v>158</v>
      </c>
      <c r="F154" s="28" t="s">
        <v>178</v>
      </c>
      <c r="G154" s="29" t="s">
        <v>42</v>
      </c>
      <c r="H154" s="62" t="s">
        <v>56</v>
      </c>
      <c r="I154" s="65" t="s">
        <v>57</v>
      </c>
      <c r="J154" s="29" t="s">
        <v>128</v>
      </c>
      <c r="K154" s="61">
        <v>0</v>
      </c>
      <c r="L154" s="51">
        <v>718548.6</v>
      </c>
      <c r="M154" s="51">
        <v>0</v>
      </c>
      <c r="N154" s="51">
        <v>0</v>
      </c>
      <c r="O154" s="51">
        <f t="shared" si="8"/>
        <v>718548.6</v>
      </c>
      <c r="P154" s="51">
        <v>718534.43</v>
      </c>
      <c r="Q154" s="51">
        <v>718534.43</v>
      </c>
      <c r="R154" s="51">
        <v>413103.61</v>
      </c>
      <c r="S154" s="51"/>
      <c r="T154" s="51"/>
      <c r="U154" s="51"/>
      <c r="V154" s="51"/>
      <c r="W154" s="51"/>
      <c r="X154" s="52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27"/>
      <c r="GK154" s="27"/>
      <c r="GL154" s="27"/>
      <c r="GM154" s="27"/>
      <c r="GN154" s="27"/>
      <c r="GO154" s="27"/>
      <c r="GP154" s="27"/>
      <c r="GQ154" s="27"/>
      <c r="GR154" s="27"/>
      <c r="GS154" s="27"/>
      <c r="GT154" s="27"/>
      <c r="GU154" s="27"/>
      <c r="GV154" s="27"/>
      <c r="GW154" s="27"/>
      <c r="GX154" s="27"/>
      <c r="GY154" s="27"/>
      <c r="GZ154" s="27"/>
      <c r="HA154" s="27"/>
      <c r="HB154" s="27"/>
      <c r="HC154" s="27"/>
      <c r="HD154" s="27"/>
      <c r="HE154" s="27"/>
      <c r="HF154" s="27"/>
      <c r="HG154" s="27"/>
      <c r="HH154" s="27"/>
      <c r="HI154" s="27"/>
      <c r="HJ154" s="27"/>
      <c r="HK154" s="27"/>
      <c r="HL154" s="27"/>
      <c r="HM154" s="27"/>
      <c r="HN154" s="27"/>
      <c r="HO154" s="27"/>
      <c r="HP154" s="27"/>
      <c r="HQ154" s="27"/>
      <c r="HR154" s="27"/>
      <c r="HS154" s="27"/>
      <c r="HT154" s="27"/>
      <c r="HU154" s="27"/>
      <c r="HV154" s="27"/>
      <c r="HW154" s="27"/>
      <c r="HX154" s="27"/>
      <c r="HY154" s="27"/>
      <c r="HZ154" s="27"/>
      <c r="IA154" s="27"/>
      <c r="IB154" s="27"/>
      <c r="IC154" s="27"/>
      <c r="ID154" s="27"/>
      <c r="IE154" s="27"/>
      <c r="IF154" s="27"/>
      <c r="IG154" s="27"/>
      <c r="IH154" s="27"/>
      <c r="II154" s="27"/>
      <c r="IJ154" s="27"/>
      <c r="IK154" s="27"/>
      <c r="IL154" s="27"/>
      <c r="IM154" s="27"/>
      <c r="IN154" s="27"/>
      <c r="IO154" s="27"/>
      <c r="IP154" s="27"/>
      <c r="IQ154" s="27"/>
      <c r="IR154" s="27"/>
    </row>
    <row r="155" spans="1:252" s="7" customFormat="1" ht="36" customHeight="1" x14ac:dyDescent="0.2">
      <c r="A155" s="21" t="s">
        <v>99</v>
      </c>
      <c r="B155" s="22" t="s">
        <v>100</v>
      </c>
      <c r="C155" s="29" t="s">
        <v>38</v>
      </c>
      <c r="D155" s="29" t="s">
        <v>177</v>
      </c>
      <c r="E155" s="28" t="s">
        <v>158</v>
      </c>
      <c r="F155" s="28" t="s">
        <v>178</v>
      </c>
      <c r="G155" s="29" t="s">
        <v>42</v>
      </c>
      <c r="H155" s="62" t="s">
        <v>136</v>
      </c>
      <c r="I155" s="63" t="s">
        <v>137</v>
      </c>
      <c r="J155" s="29" t="s">
        <v>128</v>
      </c>
      <c r="K155" s="61">
        <v>0</v>
      </c>
      <c r="L155" s="51">
        <v>400000</v>
      </c>
      <c r="M155" s="51">
        <v>0</v>
      </c>
      <c r="N155" s="51">
        <v>0</v>
      </c>
      <c r="O155" s="51">
        <f t="shared" si="8"/>
        <v>400000</v>
      </c>
      <c r="P155" s="51">
        <v>399929.44</v>
      </c>
      <c r="Q155" s="51">
        <v>399929.44</v>
      </c>
      <c r="R155" s="51">
        <v>399929.44</v>
      </c>
      <c r="S155" s="51"/>
      <c r="T155" s="51"/>
      <c r="U155" s="51"/>
      <c r="V155" s="51"/>
      <c r="W155" s="51"/>
      <c r="X155" s="52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  <c r="GM155" s="27"/>
      <c r="GN155" s="27"/>
      <c r="GO155" s="27"/>
      <c r="GP155" s="27"/>
      <c r="GQ155" s="27"/>
      <c r="GR155" s="27"/>
      <c r="GS155" s="27"/>
      <c r="GT155" s="27"/>
      <c r="GU155" s="27"/>
      <c r="GV155" s="27"/>
      <c r="GW155" s="27"/>
      <c r="GX155" s="27"/>
      <c r="GY155" s="27"/>
      <c r="GZ155" s="27"/>
      <c r="HA155" s="27"/>
      <c r="HB155" s="27"/>
      <c r="HC155" s="27"/>
      <c r="HD155" s="27"/>
      <c r="HE155" s="27"/>
      <c r="HF155" s="27"/>
      <c r="HG155" s="27"/>
      <c r="HH155" s="27"/>
      <c r="HI155" s="27"/>
      <c r="HJ155" s="27"/>
      <c r="HK155" s="27"/>
      <c r="HL155" s="27"/>
      <c r="HM155" s="27"/>
      <c r="HN155" s="27"/>
      <c r="HO155" s="27"/>
      <c r="HP155" s="27"/>
      <c r="HQ155" s="27"/>
      <c r="HR155" s="27"/>
      <c r="HS155" s="27"/>
      <c r="HT155" s="27"/>
      <c r="HU155" s="27"/>
      <c r="HV155" s="27"/>
      <c r="HW155" s="27"/>
      <c r="HX155" s="27"/>
      <c r="HY155" s="27"/>
      <c r="HZ155" s="27"/>
      <c r="IA155" s="27"/>
      <c r="IB155" s="27"/>
      <c r="IC155" s="27"/>
      <c r="ID155" s="27"/>
      <c r="IE155" s="27"/>
      <c r="IF155" s="27"/>
      <c r="IG155" s="27"/>
      <c r="IH155" s="27"/>
      <c r="II155" s="27"/>
      <c r="IJ155" s="27"/>
      <c r="IK155" s="27"/>
      <c r="IL155" s="27"/>
      <c r="IM155" s="27"/>
      <c r="IN155" s="27"/>
      <c r="IO155" s="27"/>
      <c r="IP155" s="27"/>
      <c r="IQ155" s="27"/>
      <c r="IR155" s="27"/>
    </row>
    <row r="156" spans="1:252" s="7" customFormat="1" ht="36" customHeight="1" x14ac:dyDescent="0.2">
      <c r="A156" s="21" t="s">
        <v>99</v>
      </c>
      <c r="B156" s="22" t="s">
        <v>100</v>
      </c>
      <c r="C156" s="29" t="s">
        <v>38</v>
      </c>
      <c r="D156" s="29" t="s">
        <v>177</v>
      </c>
      <c r="E156" s="28" t="s">
        <v>158</v>
      </c>
      <c r="F156" s="28" t="s">
        <v>178</v>
      </c>
      <c r="G156" s="29" t="s">
        <v>42</v>
      </c>
      <c r="H156" s="29" t="s">
        <v>179</v>
      </c>
      <c r="I156" s="28" t="s">
        <v>180</v>
      </c>
      <c r="J156" s="29" t="s">
        <v>128</v>
      </c>
      <c r="K156" s="61">
        <v>0</v>
      </c>
      <c r="L156" s="51">
        <v>197406</v>
      </c>
      <c r="M156" s="51">
        <v>0</v>
      </c>
      <c r="N156" s="51">
        <v>0</v>
      </c>
      <c r="O156" s="51">
        <f t="shared" si="8"/>
        <v>197406</v>
      </c>
      <c r="P156" s="51">
        <v>197314.05</v>
      </c>
      <c r="Q156" s="51">
        <v>197314.05</v>
      </c>
      <c r="R156" s="51">
        <v>197314.05</v>
      </c>
      <c r="S156" s="51"/>
      <c r="T156" s="51"/>
      <c r="U156" s="51"/>
      <c r="V156" s="51"/>
      <c r="W156" s="51"/>
      <c r="X156" s="52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F156" s="27"/>
      <c r="GG156" s="27"/>
      <c r="GH156" s="27"/>
      <c r="GI156" s="27"/>
      <c r="GJ156" s="27"/>
      <c r="GK156" s="27"/>
      <c r="GL156" s="27"/>
      <c r="GM156" s="27"/>
      <c r="GN156" s="27"/>
      <c r="GO156" s="27"/>
      <c r="GP156" s="27"/>
      <c r="GQ156" s="27"/>
      <c r="GR156" s="27"/>
      <c r="GS156" s="27"/>
      <c r="GT156" s="27"/>
      <c r="GU156" s="27"/>
      <c r="GV156" s="27"/>
      <c r="GW156" s="27"/>
      <c r="GX156" s="27"/>
      <c r="GY156" s="27"/>
      <c r="GZ156" s="27"/>
      <c r="HA156" s="27"/>
      <c r="HB156" s="27"/>
      <c r="HC156" s="27"/>
      <c r="HD156" s="27"/>
      <c r="HE156" s="27"/>
      <c r="HF156" s="27"/>
      <c r="HG156" s="27"/>
      <c r="HH156" s="27"/>
      <c r="HI156" s="27"/>
      <c r="HJ156" s="27"/>
      <c r="HK156" s="27"/>
      <c r="HL156" s="27"/>
      <c r="HM156" s="27"/>
      <c r="HN156" s="27"/>
      <c r="HO156" s="27"/>
      <c r="HP156" s="27"/>
      <c r="HQ156" s="27"/>
      <c r="HR156" s="27"/>
      <c r="HS156" s="27"/>
      <c r="HT156" s="27"/>
      <c r="HU156" s="27"/>
      <c r="HV156" s="27"/>
      <c r="HW156" s="27"/>
      <c r="HX156" s="27"/>
      <c r="HY156" s="27"/>
      <c r="HZ156" s="27"/>
      <c r="IA156" s="27"/>
      <c r="IB156" s="27"/>
      <c r="IC156" s="27"/>
      <c r="ID156" s="27"/>
      <c r="IE156" s="27"/>
      <c r="IF156" s="27"/>
      <c r="IG156" s="27"/>
      <c r="IH156" s="27"/>
      <c r="II156" s="27"/>
      <c r="IJ156" s="27"/>
      <c r="IK156" s="27"/>
      <c r="IL156" s="27"/>
      <c r="IM156" s="27"/>
      <c r="IN156" s="27"/>
      <c r="IO156" s="27"/>
      <c r="IP156" s="27"/>
      <c r="IQ156" s="27"/>
      <c r="IR156" s="27"/>
    </row>
    <row r="157" spans="1:252" s="7" customFormat="1" ht="36" customHeight="1" x14ac:dyDescent="0.2">
      <c r="A157" s="21" t="s">
        <v>99</v>
      </c>
      <c r="B157" s="22" t="s">
        <v>100</v>
      </c>
      <c r="C157" s="29" t="s">
        <v>38</v>
      </c>
      <c r="D157" s="29" t="s">
        <v>181</v>
      </c>
      <c r="E157" s="28" t="s">
        <v>158</v>
      </c>
      <c r="F157" s="28" t="s">
        <v>182</v>
      </c>
      <c r="G157" s="29" t="s">
        <v>42</v>
      </c>
      <c r="H157" s="29" t="s">
        <v>43</v>
      </c>
      <c r="I157" s="28" t="s">
        <v>44</v>
      </c>
      <c r="J157" s="29" t="s">
        <v>128</v>
      </c>
      <c r="K157" s="61">
        <v>20000</v>
      </c>
      <c r="L157" s="51">
        <v>-2752.51</v>
      </c>
      <c r="M157" s="51">
        <v>0</v>
      </c>
      <c r="N157" s="51">
        <v>0</v>
      </c>
      <c r="O157" s="51">
        <f t="shared" si="8"/>
        <v>17247.489999999998</v>
      </c>
      <c r="P157" s="51"/>
      <c r="Q157" s="51"/>
      <c r="R157" s="51"/>
      <c r="S157" s="51">
        <v>17247.490000000002</v>
      </c>
      <c r="T157" s="51">
        <v>17247.490000000002</v>
      </c>
      <c r="U157" s="51">
        <v>17247.490000000002</v>
      </c>
      <c r="V157" s="51"/>
      <c r="W157" s="51"/>
      <c r="X157" s="52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F157" s="27"/>
      <c r="GG157" s="27"/>
      <c r="GH157" s="27"/>
      <c r="GI157" s="27"/>
      <c r="GJ157" s="27"/>
      <c r="GK157" s="27"/>
      <c r="GL157" s="27"/>
      <c r="GM157" s="27"/>
      <c r="GN157" s="27"/>
      <c r="GO157" s="27"/>
      <c r="GP157" s="27"/>
      <c r="GQ157" s="27"/>
      <c r="GR157" s="27"/>
      <c r="GS157" s="27"/>
      <c r="GT157" s="27"/>
      <c r="GU157" s="27"/>
      <c r="GV157" s="27"/>
      <c r="GW157" s="27"/>
      <c r="GX157" s="27"/>
      <c r="GY157" s="27"/>
      <c r="GZ157" s="27"/>
      <c r="HA157" s="27"/>
      <c r="HB157" s="27"/>
      <c r="HC157" s="27"/>
      <c r="HD157" s="27"/>
      <c r="HE157" s="27"/>
      <c r="HF157" s="27"/>
      <c r="HG157" s="27"/>
      <c r="HH157" s="27"/>
      <c r="HI157" s="27"/>
      <c r="HJ157" s="27"/>
      <c r="HK157" s="27"/>
      <c r="HL157" s="27"/>
      <c r="HM157" s="27"/>
      <c r="HN157" s="27"/>
      <c r="HO157" s="27"/>
      <c r="HP157" s="27"/>
      <c r="HQ157" s="27"/>
      <c r="HR157" s="27"/>
      <c r="HS157" s="27"/>
      <c r="HT157" s="27"/>
      <c r="HU157" s="27"/>
      <c r="HV157" s="27"/>
      <c r="HW157" s="27"/>
      <c r="HX157" s="27"/>
      <c r="HY157" s="27"/>
      <c r="HZ157" s="27"/>
      <c r="IA157" s="27"/>
      <c r="IB157" s="27"/>
      <c r="IC157" s="27"/>
      <c r="ID157" s="27"/>
      <c r="IE157" s="27"/>
      <c r="IF157" s="27"/>
      <c r="IG157" s="27"/>
      <c r="IH157" s="27"/>
      <c r="II157" s="27"/>
      <c r="IJ157" s="27"/>
      <c r="IK157" s="27"/>
      <c r="IL157" s="27"/>
      <c r="IM157" s="27"/>
      <c r="IN157" s="27"/>
      <c r="IO157" s="27"/>
      <c r="IP157" s="27"/>
      <c r="IQ157" s="27"/>
      <c r="IR157" s="27"/>
    </row>
    <row r="158" spans="1:252" s="7" customFormat="1" ht="36" customHeight="1" x14ac:dyDescent="0.2">
      <c r="A158" s="21" t="s">
        <v>99</v>
      </c>
      <c r="B158" s="22" t="s">
        <v>100</v>
      </c>
      <c r="C158" s="29" t="s">
        <v>38</v>
      </c>
      <c r="D158" s="29" t="s">
        <v>181</v>
      </c>
      <c r="E158" s="28" t="s">
        <v>158</v>
      </c>
      <c r="F158" s="28" t="s">
        <v>182</v>
      </c>
      <c r="G158" s="29" t="s">
        <v>42</v>
      </c>
      <c r="H158" s="29" t="s">
        <v>103</v>
      </c>
      <c r="I158" s="28" t="s">
        <v>104</v>
      </c>
      <c r="J158" s="29" t="s">
        <v>128</v>
      </c>
      <c r="K158" s="61">
        <v>0</v>
      </c>
      <c r="L158" s="51">
        <v>3031</v>
      </c>
      <c r="M158" s="51">
        <v>0</v>
      </c>
      <c r="N158" s="51">
        <v>0</v>
      </c>
      <c r="O158" s="51">
        <f t="shared" si="8"/>
        <v>3031</v>
      </c>
      <c r="P158" s="51"/>
      <c r="Q158" s="51"/>
      <c r="R158" s="51"/>
      <c r="S158" s="51">
        <v>3030.8</v>
      </c>
      <c r="T158" s="51">
        <v>3030.8</v>
      </c>
      <c r="U158" s="51">
        <v>3030.8</v>
      </c>
      <c r="V158" s="51"/>
      <c r="W158" s="51"/>
      <c r="X158" s="52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F158" s="27"/>
      <c r="GG158" s="27"/>
      <c r="GH158" s="27"/>
      <c r="GI158" s="27"/>
      <c r="GJ158" s="27"/>
      <c r="GK158" s="27"/>
      <c r="GL158" s="27"/>
      <c r="GM158" s="27"/>
      <c r="GN158" s="27"/>
      <c r="GO158" s="27"/>
      <c r="GP158" s="27"/>
      <c r="GQ158" s="27"/>
      <c r="GR158" s="27"/>
      <c r="GS158" s="27"/>
      <c r="GT158" s="27"/>
      <c r="GU158" s="27"/>
      <c r="GV158" s="27"/>
      <c r="GW158" s="27"/>
      <c r="GX158" s="27"/>
      <c r="GY158" s="27"/>
      <c r="GZ158" s="27"/>
      <c r="HA158" s="27"/>
      <c r="HB158" s="27"/>
      <c r="HC158" s="27"/>
      <c r="HD158" s="27"/>
      <c r="HE158" s="27"/>
      <c r="HF158" s="27"/>
      <c r="HG158" s="27"/>
      <c r="HH158" s="27"/>
      <c r="HI158" s="27"/>
      <c r="HJ158" s="27"/>
      <c r="HK158" s="27"/>
      <c r="HL158" s="27"/>
      <c r="HM158" s="27"/>
      <c r="HN158" s="27"/>
      <c r="HO158" s="27"/>
      <c r="HP158" s="27"/>
      <c r="HQ158" s="27"/>
      <c r="HR158" s="27"/>
      <c r="HS158" s="27"/>
      <c r="HT158" s="27"/>
      <c r="HU158" s="27"/>
      <c r="HV158" s="27"/>
      <c r="HW158" s="27"/>
      <c r="HX158" s="27"/>
      <c r="HY158" s="27"/>
      <c r="HZ158" s="27"/>
      <c r="IA158" s="27"/>
      <c r="IB158" s="27"/>
      <c r="IC158" s="27"/>
      <c r="ID158" s="27"/>
      <c r="IE158" s="27"/>
      <c r="IF158" s="27"/>
      <c r="IG158" s="27"/>
      <c r="IH158" s="27"/>
      <c r="II158" s="27"/>
      <c r="IJ158" s="27"/>
      <c r="IK158" s="27"/>
      <c r="IL158" s="27"/>
      <c r="IM158" s="27"/>
      <c r="IN158" s="27"/>
      <c r="IO158" s="27"/>
      <c r="IP158" s="27"/>
      <c r="IQ158" s="27"/>
      <c r="IR158" s="27"/>
    </row>
    <row r="159" spans="1:252" s="7" customFormat="1" ht="36" customHeight="1" x14ac:dyDescent="0.2">
      <c r="A159" s="21" t="s">
        <v>99</v>
      </c>
      <c r="B159" s="22" t="s">
        <v>100</v>
      </c>
      <c r="C159" s="29" t="s">
        <v>38</v>
      </c>
      <c r="D159" s="29" t="s">
        <v>181</v>
      </c>
      <c r="E159" s="28" t="s">
        <v>158</v>
      </c>
      <c r="F159" s="28" t="s">
        <v>182</v>
      </c>
      <c r="G159" s="29" t="s">
        <v>42</v>
      </c>
      <c r="H159" s="62" t="s">
        <v>56</v>
      </c>
      <c r="I159" s="65" t="s">
        <v>57</v>
      </c>
      <c r="J159" s="29" t="s">
        <v>128</v>
      </c>
      <c r="K159" s="61">
        <v>0</v>
      </c>
      <c r="L159" s="51">
        <v>63933.29</v>
      </c>
      <c r="M159" s="51">
        <v>0</v>
      </c>
      <c r="N159" s="51">
        <v>0</v>
      </c>
      <c r="O159" s="51">
        <f t="shared" si="8"/>
        <v>63933.29</v>
      </c>
      <c r="P159" s="51"/>
      <c r="Q159" s="51"/>
      <c r="R159" s="51"/>
      <c r="S159" s="51">
        <v>61745.34</v>
      </c>
      <c r="T159" s="51">
        <v>61745.34</v>
      </c>
      <c r="U159" s="51">
        <v>7861.18</v>
      </c>
      <c r="V159" s="51"/>
      <c r="W159" s="51"/>
      <c r="X159" s="52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  <c r="GH159" s="27"/>
      <c r="GI159" s="27"/>
      <c r="GJ159" s="27"/>
      <c r="GK159" s="27"/>
      <c r="GL159" s="27"/>
      <c r="GM159" s="27"/>
      <c r="GN159" s="27"/>
      <c r="GO159" s="27"/>
      <c r="GP159" s="27"/>
      <c r="GQ159" s="27"/>
      <c r="GR159" s="27"/>
      <c r="GS159" s="27"/>
      <c r="GT159" s="27"/>
      <c r="GU159" s="27"/>
      <c r="GV159" s="27"/>
      <c r="GW159" s="27"/>
      <c r="GX159" s="27"/>
      <c r="GY159" s="27"/>
      <c r="GZ159" s="27"/>
      <c r="HA159" s="27"/>
      <c r="HB159" s="27"/>
      <c r="HC159" s="27"/>
      <c r="HD159" s="27"/>
      <c r="HE159" s="27"/>
      <c r="HF159" s="27"/>
      <c r="HG159" s="27"/>
      <c r="HH159" s="27"/>
      <c r="HI159" s="27"/>
      <c r="HJ159" s="27"/>
      <c r="HK159" s="27"/>
      <c r="HL159" s="27"/>
      <c r="HM159" s="27"/>
      <c r="HN159" s="27"/>
      <c r="HO159" s="27"/>
      <c r="HP159" s="27"/>
      <c r="HQ159" s="27"/>
      <c r="HR159" s="27"/>
      <c r="HS159" s="27"/>
      <c r="HT159" s="27"/>
      <c r="HU159" s="27"/>
      <c r="HV159" s="27"/>
      <c r="HW159" s="27"/>
      <c r="HX159" s="27"/>
      <c r="HY159" s="27"/>
      <c r="HZ159" s="27"/>
      <c r="IA159" s="27"/>
      <c r="IB159" s="27"/>
      <c r="IC159" s="27"/>
      <c r="ID159" s="27"/>
      <c r="IE159" s="27"/>
      <c r="IF159" s="27"/>
      <c r="IG159" s="27"/>
      <c r="IH159" s="27"/>
      <c r="II159" s="27"/>
      <c r="IJ159" s="27"/>
      <c r="IK159" s="27"/>
      <c r="IL159" s="27"/>
      <c r="IM159" s="27"/>
      <c r="IN159" s="27"/>
      <c r="IO159" s="27"/>
      <c r="IP159" s="27"/>
      <c r="IQ159" s="27"/>
      <c r="IR159" s="27"/>
    </row>
    <row r="160" spans="1:252" s="7" customFormat="1" ht="36" customHeight="1" x14ac:dyDescent="0.2">
      <c r="A160" s="21" t="s">
        <v>99</v>
      </c>
      <c r="B160" s="22" t="s">
        <v>100</v>
      </c>
      <c r="C160" s="29" t="s">
        <v>38</v>
      </c>
      <c r="D160" s="29" t="s">
        <v>181</v>
      </c>
      <c r="E160" s="28" t="s">
        <v>158</v>
      </c>
      <c r="F160" s="28" t="s">
        <v>182</v>
      </c>
      <c r="G160" s="29" t="s">
        <v>42</v>
      </c>
      <c r="H160" s="62" t="s">
        <v>136</v>
      </c>
      <c r="I160" s="63" t="s">
        <v>137</v>
      </c>
      <c r="J160" s="29" t="s">
        <v>128</v>
      </c>
      <c r="K160" s="61">
        <v>0</v>
      </c>
      <c r="L160" s="51">
        <v>25000</v>
      </c>
      <c r="M160" s="51">
        <v>0</v>
      </c>
      <c r="N160" s="51">
        <v>0</v>
      </c>
      <c r="O160" s="51">
        <f t="shared" si="8"/>
        <v>25000</v>
      </c>
      <c r="P160" s="51"/>
      <c r="Q160" s="51"/>
      <c r="R160" s="51"/>
      <c r="S160" s="51">
        <v>24920.36</v>
      </c>
      <c r="T160" s="51">
        <v>24920.36</v>
      </c>
      <c r="U160" s="51">
        <v>24920.36</v>
      </c>
      <c r="V160" s="51"/>
      <c r="W160" s="51"/>
      <c r="X160" s="52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  <c r="GH160" s="27"/>
      <c r="GI160" s="27"/>
      <c r="GJ160" s="27"/>
      <c r="GK160" s="27"/>
      <c r="GL160" s="27"/>
      <c r="GM160" s="27"/>
      <c r="GN160" s="27"/>
      <c r="GO160" s="27"/>
      <c r="GP160" s="27"/>
      <c r="GQ160" s="27"/>
      <c r="GR160" s="27"/>
      <c r="GS160" s="27"/>
      <c r="GT160" s="27"/>
      <c r="GU160" s="27"/>
      <c r="GV160" s="27"/>
      <c r="GW160" s="27"/>
      <c r="GX160" s="27"/>
      <c r="GY160" s="27"/>
      <c r="GZ160" s="27"/>
      <c r="HA160" s="27"/>
      <c r="HB160" s="27"/>
      <c r="HC160" s="27"/>
      <c r="HD160" s="27"/>
      <c r="HE160" s="27"/>
      <c r="HF160" s="27"/>
      <c r="HG160" s="27"/>
      <c r="HH160" s="27"/>
      <c r="HI160" s="27"/>
      <c r="HJ160" s="27"/>
      <c r="HK160" s="27"/>
      <c r="HL160" s="27"/>
      <c r="HM160" s="27"/>
      <c r="HN160" s="27"/>
      <c r="HO160" s="27"/>
      <c r="HP160" s="27"/>
      <c r="HQ160" s="27"/>
      <c r="HR160" s="27"/>
      <c r="HS160" s="27"/>
      <c r="HT160" s="27"/>
      <c r="HU160" s="27"/>
      <c r="HV160" s="27"/>
      <c r="HW160" s="27"/>
      <c r="HX160" s="27"/>
      <c r="HY160" s="27"/>
      <c r="HZ160" s="27"/>
      <c r="IA160" s="27"/>
      <c r="IB160" s="27"/>
      <c r="IC160" s="27"/>
      <c r="ID160" s="27"/>
      <c r="IE160" s="27"/>
      <c r="IF160" s="27"/>
      <c r="IG160" s="27"/>
      <c r="IH160" s="27"/>
      <c r="II160" s="27"/>
      <c r="IJ160" s="27"/>
      <c r="IK160" s="27"/>
      <c r="IL160" s="27"/>
      <c r="IM160" s="27"/>
      <c r="IN160" s="27"/>
      <c r="IO160" s="27"/>
      <c r="IP160" s="27"/>
      <c r="IQ160" s="27"/>
      <c r="IR160" s="27"/>
    </row>
    <row r="161" spans="1:252" s="7" customFormat="1" ht="36" customHeight="1" x14ac:dyDescent="0.2">
      <c r="A161" s="21" t="s">
        <v>99</v>
      </c>
      <c r="B161" s="22" t="s">
        <v>100</v>
      </c>
      <c r="C161" s="29" t="s">
        <v>38</v>
      </c>
      <c r="D161" s="29" t="s">
        <v>181</v>
      </c>
      <c r="E161" s="28" t="s">
        <v>158</v>
      </c>
      <c r="F161" s="28" t="s">
        <v>182</v>
      </c>
      <c r="G161" s="29" t="s">
        <v>42</v>
      </c>
      <c r="H161" s="29" t="s">
        <v>179</v>
      </c>
      <c r="I161" s="28" t="s">
        <v>180</v>
      </c>
      <c r="J161" s="29" t="s">
        <v>128</v>
      </c>
      <c r="K161" s="61">
        <v>0</v>
      </c>
      <c r="L161" s="51">
        <v>12338</v>
      </c>
      <c r="M161" s="51">
        <v>0</v>
      </c>
      <c r="N161" s="51">
        <v>0</v>
      </c>
      <c r="O161" s="51">
        <f t="shared" si="8"/>
        <v>12338</v>
      </c>
      <c r="P161" s="51"/>
      <c r="Q161" s="51"/>
      <c r="R161" s="51"/>
      <c r="S161" s="51">
        <v>12254.79</v>
      </c>
      <c r="T161" s="51">
        <v>12254.79</v>
      </c>
      <c r="U161" s="51">
        <v>12254.79</v>
      </c>
      <c r="V161" s="51"/>
      <c r="W161" s="51"/>
      <c r="X161" s="52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  <c r="GJ161" s="27"/>
      <c r="GK161" s="27"/>
      <c r="GL161" s="27"/>
      <c r="GM161" s="27"/>
      <c r="GN161" s="27"/>
      <c r="GO161" s="27"/>
      <c r="GP161" s="27"/>
      <c r="GQ161" s="27"/>
      <c r="GR161" s="27"/>
      <c r="GS161" s="27"/>
      <c r="GT161" s="27"/>
      <c r="GU161" s="27"/>
      <c r="GV161" s="27"/>
      <c r="GW161" s="27"/>
      <c r="GX161" s="27"/>
      <c r="GY161" s="27"/>
      <c r="GZ161" s="27"/>
      <c r="HA161" s="27"/>
      <c r="HB161" s="27"/>
      <c r="HC161" s="27"/>
      <c r="HD161" s="27"/>
      <c r="HE161" s="27"/>
      <c r="HF161" s="27"/>
      <c r="HG161" s="27"/>
      <c r="HH161" s="27"/>
      <c r="HI161" s="27"/>
      <c r="HJ161" s="27"/>
      <c r="HK161" s="27"/>
      <c r="HL161" s="27"/>
      <c r="HM161" s="27"/>
      <c r="HN161" s="27"/>
      <c r="HO161" s="27"/>
      <c r="HP161" s="27"/>
      <c r="HQ161" s="27"/>
      <c r="HR161" s="27"/>
      <c r="HS161" s="27"/>
      <c r="HT161" s="27"/>
      <c r="HU161" s="27"/>
      <c r="HV161" s="27"/>
      <c r="HW161" s="27"/>
      <c r="HX161" s="27"/>
      <c r="HY161" s="27"/>
      <c r="HZ161" s="27"/>
      <c r="IA161" s="27"/>
      <c r="IB161" s="27"/>
      <c r="IC161" s="27"/>
      <c r="ID161" s="27"/>
      <c r="IE161" s="27"/>
      <c r="IF161" s="27"/>
      <c r="IG161" s="27"/>
      <c r="IH161" s="27"/>
      <c r="II161" s="27"/>
      <c r="IJ161" s="27"/>
      <c r="IK161" s="27"/>
      <c r="IL161" s="27"/>
      <c r="IM161" s="27"/>
      <c r="IN161" s="27"/>
      <c r="IO161" s="27"/>
      <c r="IP161" s="27"/>
      <c r="IQ161" s="27"/>
      <c r="IR161" s="27"/>
    </row>
    <row r="162" spans="1:252" s="7" customFormat="1" ht="36" customHeight="1" x14ac:dyDescent="0.2">
      <c r="A162" s="21" t="s">
        <v>99</v>
      </c>
      <c r="B162" s="22" t="s">
        <v>100</v>
      </c>
      <c r="C162" s="29" t="s">
        <v>38</v>
      </c>
      <c r="D162" s="29" t="s">
        <v>183</v>
      </c>
      <c r="E162" s="28" t="s">
        <v>158</v>
      </c>
      <c r="F162" s="28" t="s">
        <v>184</v>
      </c>
      <c r="G162" s="29" t="s">
        <v>42</v>
      </c>
      <c r="H162" s="29" t="s">
        <v>43</v>
      </c>
      <c r="I162" s="28" t="s">
        <v>44</v>
      </c>
      <c r="J162" s="29" t="s">
        <v>128</v>
      </c>
      <c r="K162" s="61">
        <v>10000</v>
      </c>
      <c r="L162" s="51">
        <v>0</v>
      </c>
      <c r="M162" s="51">
        <v>0</v>
      </c>
      <c r="N162" s="51">
        <v>0</v>
      </c>
      <c r="O162" s="51">
        <f t="shared" si="8"/>
        <v>10000</v>
      </c>
      <c r="P162" s="51"/>
      <c r="Q162" s="51"/>
      <c r="R162" s="51"/>
      <c r="S162" s="51"/>
      <c r="T162" s="51"/>
      <c r="U162" s="51"/>
      <c r="V162" s="51">
        <v>9960.2900000000009</v>
      </c>
      <c r="W162" s="51">
        <v>9960.2900000000009</v>
      </c>
      <c r="X162" s="52">
        <v>9960.2900000000009</v>
      </c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  <c r="GJ162" s="27"/>
      <c r="GK162" s="27"/>
      <c r="GL162" s="27"/>
      <c r="GM162" s="27"/>
      <c r="GN162" s="27"/>
      <c r="GO162" s="27"/>
      <c r="GP162" s="27"/>
      <c r="GQ162" s="27"/>
      <c r="GR162" s="27"/>
      <c r="GS162" s="27"/>
      <c r="GT162" s="27"/>
      <c r="GU162" s="27"/>
      <c r="GV162" s="27"/>
      <c r="GW162" s="27"/>
      <c r="GX162" s="27"/>
      <c r="GY162" s="27"/>
      <c r="GZ162" s="27"/>
      <c r="HA162" s="27"/>
      <c r="HB162" s="27"/>
      <c r="HC162" s="27"/>
      <c r="HD162" s="27"/>
      <c r="HE162" s="27"/>
      <c r="HF162" s="27"/>
      <c r="HG162" s="27"/>
      <c r="HH162" s="27"/>
      <c r="HI162" s="27"/>
      <c r="HJ162" s="27"/>
      <c r="HK162" s="27"/>
      <c r="HL162" s="27"/>
      <c r="HM162" s="27"/>
      <c r="HN162" s="27"/>
      <c r="HO162" s="27"/>
      <c r="HP162" s="27"/>
      <c r="HQ162" s="27"/>
      <c r="HR162" s="27"/>
      <c r="HS162" s="27"/>
      <c r="HT162" s="27"/>
      <c r="HU162" s="27"/>
      <c r="HV162" s="27"/>
      <c r="HW162" s="27"/>
      <c r="HX162" s="27"/>
      <c r="HY162" s="27"/>
      <c r="HZ162" s="27"/>
      <c r="IA162" s="27"/>
      <c r="IB162" s="27"/>
      <c r="IC162" s="27"/>
      <c r="ID162" s="27"/>
      <c r="IE162" s="27"/>
      <c r="IF162" s="27"/>
      <c r="IG162" s="27"/>
      <c r="IH162" s="27"/>
      <c r="II162" s="27"/>
      <c r="IJ162" s="27"/>
      <c r="IK162" s="27"/>
      <c r="IL162" s="27"/>
      <c r="IM162" s="27"/>
      <c r="IN162" s="27"/>
      <c r="IO162" s="27"/>
      <c r="IP162" s="27"/>
      <c r="IQ162" s="27"/>
      <c r="IR162" s="27"/>
    </row>
    <row r="163" spans="1:252" s="7" customFormat="1" ht="36" customHeight="1" x14ac:dyDescent="0.2">
      <c r="A163" s="21" t="s">
        <v>99</v>
      </c>
      <c r="B163" s="22" t="s">
        <v>100</v>
      </c>
      <c r="C163" s="29" t="s">
        <v>38</v>
      </c>
      <c r="D163" s="29" t="s">
        <v>183</v>
      </c>
      <c r="E163" s="28" t="s">
        <v>158</v>
      </c>
      <c r="F163" s="28" t="s">
        <v>184</v>
      </c>
      <c r="G163" s="29" t="s">
        <v>42</v>
      </c>
      <c r="H163" s="29" t="s">
        <v>103</v>
      </c>
      <c r="I163" s="28" t="s">
        <v>104</v>
      </c>
      <c r="J163" s="29" t="s">
        <v>128</v>
      </c>
      <c r="K163" s="61">
        <v>0</v>
      </c>
      <c r="L163" s="51">
        <v>193215</v>
      </c>
      <c r="M163" s="51">
        <v>0</v>
      </c>
      <c r="N163" s="51">
        <v>0</v>
      </c>
      <c r="O163" s="51">
        <f t="shared" si="8"/>
        <v>193215</v>
      </c>
      <c r="P163" s="51"/>
      <c r="Q163" s="51"/>
      <c r="R163" s="51"/>
      <c r="S163" s="51"/>
      <c r="T163" s="51"/>
      <c r="U163" s="51"/>
      <c r="V163" s="51">
        <v>193019.93</v>
      </c>
      <c r="W163" s="51">
        <v>193019.93</v>
      </c>
      <c r="X163" s="52">
        <v>118962.78</v>
      </c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  <c r="IO163" s="27"/>
      <c r="IP163" s="27"/>
      <c r="IQ163" s="27"/>
      <c r="IR163" s="27"/>
    </row>
    <row r="164" spans="1:252" s="7" customFormat="1" ht="36" customHeight="1" x14ac:dyDescent="0.2">
      <c r="A164" s="21" t="s">
        <v>99</v>
      </c>
      <c r="B164" s="22" t="s">
        <v>100</v>
      </c>
      <c r="C164" s="29" t="s">
        <v>38</v>
      </c>
      <c r="D164" s="29" t="s">
        <v>183</v>
      </c>
      <c r="E164" s="28" t="s">
        <v>158</v>
      </c>
      <c r="F164" s="28" t="s">
        <v>184</v>
      </c>
      <c r="G164" s="29" t="s">
        <v>42</v>
      </c>
      <c r="H164" s="62" t="s">
        <v>56</v>
      </c>
      <c r="I164" s="65" t="s">
        <v>57</v>
      </c>
      <c r="J164" s="29" t="s">
        <v>128</v>
      </c>
      <c r="K164" s="61">
        <v>0</v>
      </c>
      <c r="L164" s="51">
        <v>162952.76</v>
      </c>
      <c r="M164" s="51">
        <v>0</v>
      </c>
      <c r="N164" s="51">
        <v>0</v>
      </c>
      <c r="O164" s="51">
        <f t="shared" si="8"/>
        <v>162952.76</v>
      </c>
      <c r="P164" s="51"/>
      <c r="Q164" s="51"/>
      <c r="R164" s="51"/>
      <c r="S164" s="51"/>
      <c r="T164" s="51"/>
      <c r="U164" s="51"/>
      <c r="V164" s="51">
        <v>158444.87</v>
      </c>
      <c r="W164" s="51">
        <v>158444.87</v>
      </c>
      <c r="X164" s="52">
        <v>51270.49</v>
      </c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  <c r="IL164" s="27"/>
      <c r="IM164" s="27"/>
      <c r="IN164" s="27"/>
      <c r="IO164" s="27"/>
      <c r="IP164" s="27"/>
      <c r="IQ164" s="27"/>
      <c r="IR164" s="27"/>
    </row>
    <row r="165" spans="1:252" s="7" customFormat="1" ht="36" customHeight="1" x14ac:dyDescent="0.2">
      <c r="A165" s="21" t="s">
        <v>99</v>
      </c>
      <c r="B165" s="22" t="s">
        <v>100</v>
      </c>
      <c r="C165" s="29" t="s">
        <v>38</v>
      </c>
      <c r="D165" s="29" t="s">
        <v>183</v>
      </c>
      <c r="E165" s="28" t="s">
        <v>158</v>
      </c>
      <c r="F165" s="28" t="s">
        <v>184</v>
      </c>
      <c r="G165" s="29" t="s">
        <v>42</v>
      </c>
      <c r="H165" s="62" t="s">
        <v>136</v>
      </c>
      <c r="I165" s="63" t="s">
        <v>137</v>
      </c>
      <c r="J165" s="29" t="s">
        <v>128</v>
      </c>
      <c r="K165" s="61">
        <v>0</v>
      </c>
      <c r="L165" s="51">
        <v>75000</v>
      </c>
      <c r="M165" s="51">
        <v>0</v>
      </c>
      <c r="N165" s="51">
        <v>0</v>
      </c>
      <c r="O165" s="51">
        <f t="shared" si="8"/>
        <v>75000</v>
      </c>
      <c r="P165" s="51"/>
      <c r="Q165" s="51"/>
      <c r="R165" s="51"/>
      <c r="S165" s="51"/>
      <c r="T165" s="51"/>
      <c r="U165" s="51"/>
      <c r="V165" s="51">
        <v>74999.08</v>
      </c>
      <c r="W165" s="51">
        <v>74999.08</v>
      </c>
      <c r="X165" s="52">
        <v>74999.08</v>
      </c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  <c r="IO165" s="27"/>
      <c r="IP165" s="27"/>
      <c r="IQ165" s="27"/>
      <c r="IR165" s="27"/>
    </row>
    <row r="166" spans="1:252" s="7" customFormat="1" ht="36" customHeight="1" x14ac:dyDescent="0.2">
      <c r="A166" s="21" t="s">
        <v>99</v>
      </c>
      <c r="B166" s="22" t="s">
        <v>100</v>
      </c>
      <c r="C166" s="29" t="s">
        <v>38</v>
      </c>
      <c r="D166" s="29" t="s">
        <v>183</v>
      </c>
      <c r="E166" s="28" t="s">
        <v>158</v>
      </c>
      <c r="F166" s="28" t="s">
        <v>184</v>
      </c>
      <c r="G166" s="29" t="s">
        <v>42</v>
      </c>
      <c r="H166" s="29" t="s">
        <v>179</v>
      </c>
      <c r="I166" s="28" t="s">
        <v>180</v>
      </c>
      <c r="J166" s="29" t="s">
        <v>128</v>
      </c>
      <c r="K166" s="61">
        <v>0</v>
      </c>
      <c r="L166" s="51">
        <v>37770</v>
      </c>
      <c r="M166" s="51">
        <v>0</v>
      </c>
      <c r="N166" s="51">
        <v>0</v>
      </c>
      <c r="O166" s="51">
        <f t="shared" si="8"/>
        <v>37770</v>
      </c>
      <c r="P166" s="51"/>
      <c r="Q166" s="51"/>
      <c r="R166" s="51"/>
      <c r="S166" s="51"/>
      <c r="T166" s="51"/>
      <c r="U166" s="51"/>
      <c r="V166" s="51">
        <v>37573.49</v>
      </c>
      <c r="W166" s="51">
        <v>37573.49</v>
      </c>
      <c r="X166" s="52">
        <v>37573.49</v>
      </c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  <c r="HE166" s="27"/>
      <c r="HF166" s="27"/>
      <c r="HG166" s="27"/>
      <c r="HH166" s="27"/>
      <c r="HI166" s="27"/>
      <c r="HJ166" s="27"/>
      <c r="HK166" s="27"/>
      <c r="HL166" s="27"/>
      <c r="HM166" s="27"/>
      <c r="HN166" s="27"/>
      <c r="HO166" s="27"/>
      <c r="HP166" s="27"/>
      <c r="HQ166" s="27"/>
      <c r="HR166" s="27"/>
      <c r="HS166" s="27"/>
      <c r="HT166" s="27"/>
      <c r="HU166" s="27"/>
      <c r="HV166" s="27"/>
      <c r="HW166" s="27"/>
      <c r="HX166" s="27"/>
      <c r="HY166" s="27"/>
      <c r="HZ166" s="27"/>
      <c r="IA166" s="27"/>
      <c r="IB166" s="27"/>
      <c r="IC166" s="27"/>
      <c r="ID166" s="27"/>
      <c r="IE166" s="27"/>
      <c r="IF166" s="27"/>
      <c r="IG166" s="27"/>
      <c r="IH166" s="27"/>
      <c r="II166" s="27"/>
      <c r="IJ166" s="27"/>
      <c r="IK166" s="27"/>
      <c r="IL166" s="27"/>
      <c r="IM166" s="27"/>
      <c r="IN166" s="27"/>
      <c r="IO166" s="27"/>
      <c r="IP166" s="27"/>
      <c r="IQ166" s="27"/>
      <c r="IR166" s="27"/>
    </row>
    <row r="167" spans="1:252" s="7" customFormat="1" ht="36" customHeight="1" x14ac:dyDescent="0.2">
      <c r="A167" s="21" t="s">
        <v>99</v>
      </c>
      <c r="B167" s="22" t="s">
        <v>100</v>
      </c>
      <c r="C167" s="29" t="s">
        <v>47</v>
      </c>
      <c r="D167" s="29" t="s">
        <v>185</v>
      </c>
      <c r="E167" s="28" t="s">
        <v>153</v>
      </c>
      <c r="F167" s="28" t="s">
        <v>186</v>
      </c>
      <c r="G167" s="29" t="s">
        <v>42</v>
      </c>
      <c r="H167" s="29" t="s">
        <v>103</v>
      </c>
      <c r="I167" s="28" t="s">
        <v>104</v>
      </c>
      <c r="J167" s="29" t="s">
        <v>51</v>
      </c>
      <c r="K167" s="61">
        <v>10000</v>
      </c>
      <c r="L167" s="51">
        <v>0</v>
      </c>
      <c r="M167" s="51">
        <v>0</v>
      </c>
      <c r="N167" s="51">
        <v>0</v>
      </c>
      <c r="O167" s="51">
        <f t="shared" si="8"/>
        <v>10000</v>
      </c>
      <c r="P167" s="51"/>
      <c r="Q167" s="51"/>
      <c r="R167" s="51"/>
      <c r="S167" s="51"/>
      <c r="T167" s="51"/>
      <c r="U167" s="51"/>
      <c r="V167" s="51">
        <v>0</v>
      </c>
      <c r="W167" s="51">
        <v>0</v>
      </c>
      <c r="X167" s="52">
        <v>0</v>
      </c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  <c r="GR167" s="27"/>
      <c r="GS167" s="27"/>
      <c r="GT167" s="27"/>
      <c r="GU167" s="27"/>
      <c r="GV167" s="27"/>
      <c r="GW167" s="27"/>
      <c r="GX167" s="27"/>
      <c r="GY167" s="27"/>
      <c r="GZ167" s="27"/>
      <c r="HA167" s="27"/>
      <c r="HB167" s="27"/>
      <c r="HC167" s="27"/>
      <c r="HD167" s="27"/>
      <c r="HE167" s="27"/>
      <c r="HF167" s="27"/>
      <c r="HG167" s="27"/>
      <c r="HH167" s="27"/>
      <c r="HI167" s="27"/>
      <c r="HJ167" s="27"/>
      <c r="HK167" s="27"/>
      <c r="HL167" s="27"/>
      <c r="HM167" s="27"/>
      <c r="HN167" s="27"/>
      <c r="HO167" s="27"/>
      <c r="HP167" s="27"/>
      <c r="HQ167" s="27"/>
      <c r="HR167" s="27"/>
      <c r="HS167" s="27"/>
      <c r="HT167" s="27"/>
      <c r="HU167" s="27"/>
      <c r="HV167" s="27"/>
      <c r="HW167" s="27"/>
      <c r="HX167" s="27"/>
      <c r="HY167" s="27"/>
      <c r="HZ167" s="27"/>
      <c r="IA167" s="27"/>
      <c r="IB167" s="27"/>
      <c r="IC167" s="27"/>
      <c r="ID167" s="27"/>
      <c r="IE167" s="27"/>
      <c r="IF167" s="27"/>
      <c r="IG167" s="27"/>
      <c r="IH167" s="27"/>
      <c r="II167" s="27"/>
      <c r="IJ167" s="27"/>
      <c r="IK167" s="27"/>
      <c r="IL167" s="27"/>
      <c r="IM167" s="27"/>
      <c r="IN167" s="27"/>
      <c r="IO167" s="27"/>
      <c r="IP167" s="27"/>
      <c r="IQ167" s="27"/>
      <c r="IR167" s="27"/>
    </row>
    <row r="168" spans="1:252" s="7" customFormat="1" ht="36" customHeight="1" x14ac:dyDescent="0.2">
      <c r="A168" s="21" t="s">
        <v>99</v>
      </c>
      <c r="B168" s="22" t="s">
        <v>100</v>
      </c>
      <c r="C168" s="29" t="s">
        <v>47</v>
      </c>
      <c r="D168" s="29" t="s">
        <v>187</v>
      </c>
      <c r="E168" s="28" t="s">
        <v>153</v>
      </c>
      <c r="F168" s="28" t="s">
        <v>188</v>
      </c>
      <c r="G168" s="29" t="s">
        <v>42</v>
      </c>
      <c r="H168" s="29" t="s">
        <v>103</v>
      </c>
      <c r="I168" s="28" t="s">
        <v>104</v>
      </c>
      <c r="J168" s="29" t="s">
        <v>51</v>
      </c>
      <c r="K168" s="61">
        <v>50000</v>
      </c>
      <c r="L168" s="51">
        <v>0</v>
      </c>
      <c r="M168" s="51">
        <v>0</v>
      </c>
      <c r="N168" s="51">
        <v>0</v>
      </c>
      <c r="O168" s="51">
        <f t="shared" si="8"/>
        <v>50000</v>
      </c>
      <c r="P168" s="51"/>
      <c r="Q168" s="51"/>
      <c r="R168" s="51"/>
      <c r="S168" s="51"/>
      <c r="T168" s="51"/>
      <c r="U168" s="51"/>
      <c r="V168" s="51">
        <v>1525.75</v>
      </c>
      <c r="W168" s="51">
        <v>1525.75</v>
      </c>
      <c r="X168" s="52">
        <v>1525.75</v>
      </c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  <c r="HI168" s="27"/>
      <c r="HJ168" s="27"/>
      <c r="HK168" s="27"/>
      <c r="HL168" s="27"/>
      <c r="HM168" s="27"/>
      <c r="HN168" s="27"/>
      <c r="HO168" s="27"/>
      <c r="HP168" s="27"/>
      <c r="HQ168" s="27"/>
      <c r="HR168" s="27"/>
      <c r="HS168" s="27"/>
      <c r="HT168" s="27"/>
      <c r="HU168" s="27"/>
      <c r="HV168" s="27"/>
      <c r="HW168" s="27"/>
      <c r="HX168" s="27"/>
      <c r="HY168" s="27"/>
      <c r="HZ168" s="27"/>
      <c r="IA168" s="27"/>
      <c r="IB168" s="27"/>
      <c r="IC168" s="27"/>
      <c r="ID168" s="27"/>
      <c r="IE168" s="27"/>
      <c r="IF168" s="27"/>
      <c r="IG168" s="27"/>
      <c r="IH168" s="27"/>
      <c r="II168" s="27"/>
      <c r="IJ168" s="27"/>
      <c r="IK168" s="27"/>
      <c r="IL168" s="27"/>
      <c r="IM168" s="27"/>
      <c r="IN168" s="27"/>
      <c r="IO168" s="27"/>
      <c r="IP168" s="27"/>
      <c r="IQ168" s="27"/>
      <c r="IR168" s="27"/>
    </row>
    <row r="169" spans="1:252" s="7" customFormat="1" ht="36" customHeight="1" x14ac:dyDescent="0.2">
      <c r="A169" s="21" t="s">
        <v>99</v>
      </c>
      <c r="B169" s="22" t="s">
        <v>100</v>
      </c>
      <c r="C169" s="29" t="s">
        <v>47</v>
      </c>
      <c r="D169" s="29" t="s">
        <v>187</v>
      </c>
      <c r="E169" s="28" t="s">
        <v>153</v>
      </c>
      <c r="F169" s="28" t="s">
        <v>188</v>
      </c>
      <c r="G169" s="29" t="s">
        <v>42</v>
      </c>
      <c r="H169" s="62" t="s">
        <v>136</v>
      </c>
      <c r="I169" s="63" t="s">
        <v>137</v>
      </c>
      <c r="J169" s="29" t="s">
        <v>51</v>
      </c>
      <c r="K169" s="61">
        <v>0</v>
      </c>
      <c r="L169" s="51">
        <f>1960000-240000</f>
        <v>1720000</v>
      </c>
      <c r="M169" s="51">
        <v>0</v>
      </c>
      <c r="N169" s="51">
        <v>0</v>
      </c>
      <c r="O169" s="51">
        <f t="shared" si="8"/>
        <v>1720000</v>
      </c>
      <c r="P169" s="51"/>
      <c r="Q169" s="51"/>
      <c r="R169" s="51"/>
      <c r="S169" s="51"/>
      <c r="T169" s="51"/>
      <c r="U169" s="51"/>
      <c r="V169" s="51">
        <v>1400000</v>
      </c>
      <c r="W169" s="51">
        <v>1400000</v>
      </c>
      <c r="X169" s="52">
        <v>1400000</v>
      </c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  <c r="GM169" s="27"/>
      <c r="GN169" s="27"/>
      <c r="GO169" s="27"/>
      <c r="GP169" s="27"/>
      <c r="GQ169" s="27"/>
      <c r="GR169" s="27"/>
      <c r="GS169" s="27"/>
      <c r="GT169" s="27"/>
      <c r="GU169" s="27"/>
      <c r="GV169" s="27"/>
      <c r="GW169" s="27"/>
      <c r="GX169" s="27"/>
      <c r="GY169" s="27"/>
      <c r="GZ169" s="27"/>
      <c r="HA169" s="27"/>
      <c r="HB169" s="27"/>
      <c r="HC169" s="27"/>
      <c r="HD169" s="27"/>
      <c r="HE169" s="27"/>
      <c r="HF169" s="27"/>
      <c r="HG169" s="27"/>
      <c r="HH169" s="27"/>
      <c r="HI169" s="27"/>
      <c r="HJ169" s="27"/>
      <c r="HK169" s="27"/>
      <c r="HL169" s="27"/>
      <c r="HM169" s="27"/>
      <c r="HN169" s="27"/>
      <c r="HO169" s="27"/>
      <c r="HP169" s="27"/>
      <c r="HQ169" s="27"/>
      <c r="HR169" s="27"/>
      <c r="HS169" s="27"/>
      <c r="HT169" s="27"/>
      <c r="HU169" s="27"/>
      <c r="HV169" s="27"/>
      <c r="HW169" s="27"/>
      <c r="HX169" s="27"/>
      <c r="HY169" s="27"/>
      <c r="HZ169" s="27"/>
      <c r="IA169" s="27"/>
      <c r="IB169" s="27"/>
      <c r="IC169" s="27"/>
      <c r="ID169" s="27"/>
      <c r="IE169" s="27"/>
      <c r="IF169" s="27"/>
      <c r="IG169" s="27"/>
      <c r="IH169" s="27"/>
      <c r="II169" s="27"/>
      <c r="IJ169" s="27"/>
      <c r="IK169" s="27"/>
      <c r="IL169" s="27"/>
      <c r="IM169" s="27"/>
      <c r="IN169" s="27"/>
      <c r="IO169" s="27"/>
      <c r="IP169" s="27"/>
      <c r="IQ169" s="27"/>
      <c r="IR169" s="27"/>
    </row>
    <row r="170" spans="1:252" s="7" customFormat="1" ht="36" customHeight="1" x14ac:dyDescent="0.2">
      <c r="A170" s="21" t="s">
        <v>99</v>
      </c>
      <c r="B170" s="22" t="s">
        <v>100</v>
      </c>
      <c r="C170" s="29" t="s">
        <v>47</v>
      </c>
      <c r="D170" s="29" t="s">
        <v>189</v>
      </c>
      <c r="E170" s="28" t="s">
        <v>49</v>
      </c>
      <c r="F170" s="28" t="s">
        <v>190</v>
      </c>
      <c r="G170" s="29" t="s">
        <v>42</v>
      </c>
      <c r="H170" s="29" t="s">
        <v>103</v>
      </c>
      <c r="I170" s="28" t="s">
        <v>104</v>
      </c>
      <c r="J170" s="29" t="s">
        <v>51</v>
      </c>
      <c r="K170" s="61">
        <v>236450</v>
      </c>
      <c r="L170" s="51">
        <v>0</v>
      </c>
      <c r="M170" s="51">
        <v>0</v>
      </c>
      <c r="N170" s="51">
        <v>0</v>
      </c>
      <c r="O170" s="51">
        <f t="shared" si="8"/>
        <v>236450</v>
      </c>
      <c r="P170" s="51"/>
      <c r="Q170" s="51"/>
      <c r="R170" s="51"/>
      <c r="S170" s="51"/>
      <c r="T170" s="51"/>
      <c r="U170" s="51"/>
      <c r="V170" s="51">
        <v>164801.10999999999</v>
      </c>
      <c r="W170" s="51">
        <v>164801.10999999999</v>
      </c>
      <c r="X170" s="52">
        <v>164801.10999999999</v>
      </c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  <c r="GG170" s="27"/>
      <c r="GH170" s="27"/>
      <c r="GI170" s="27"/>
      <c r="GJ170" s="27"/>
      <c r="GK170" s="27"/>
      <c r="GL170" s="27"/>
      <c r="GM170" s="27"/>
      <c r="GN170" s="27"/>
      <c r="GO170" s="27"/>
      <c r="GP170" s="27"/>
      <c r="GQ170" s="27"/>
      <c r="GR170" s="27"/>
      <c r="GS170" s="27"/>
      <c r="GT170" s="27"/>
      <c r="GU170" s="27"/>
      <c r="GV170" s="27"/>
      <c r="GW170" s="27"/>
      <c r="GX170" s="27"/>
      <c r="GY170" s="27"/>
      <c r="GZ170" s="27"/>
      <c r="HA170" s="27"/>
      <c r="HB170" s="27"/>
      <c r="HC170" s="27"/>
      <c r="HD170" s="27"/>
      <c r="HE170" s="27"/>
      <c r="HF170" s="27"/>
      <c r="HG170" s="27"/>
      <c r="HH170" s="27"/>
      <c r="HI170" s="27"/>
      <c r="HJ170" s="27"/>
      <c r="HK170" s="27"/>
      <c r="HL170" s="27"/>
      <c r="HM170" s="27"/>
      <c r="HN170" s="27"/>
      <c r="HO170" s="27"/>
      <c r="HP170" s="27"/>
      <c r="HQ170" s="27"/>
      <c r="HR170" s="27"/>
      <c r="HS170" s="27"/>
      <c r="HT170" s="27"/>
      <c r="HU170" s="27"/>
      <c r="HV170" s="27"/>
      <c r="HW170" s="27"/>
      <c r="HX170" s="27"/>
      <c r="HY170" s="27"/>
      <c r="HZ170" s="27"/>
      <c r="IA170" s="27"/>
      <c r="IB170" s="27"/>
      <c r="IC170" s="27"/>
      <c r="ID170" s="27"/>
      <c r="IE170" s="27"/>
      <c r="IF170" s="27"/>
      <c r="IG170" s="27"/>
      <c r="IH170" s="27"/>
      <c r="II170" s="27"/>
      <c r="IJ170" s="27"/>
      <c r="IK170" s="27"/>
      <c r="IL170" s="27"/>
      <c r="IM170" s="27"/>
      <c r="IN170" s="27"/>
      <c r="IO170" s="27"/>
      <c r="IP170" s="27"/>
      <c r="IQ170" s="27"/>
      <c r="IR170" s="27"/>
    </row>
    <row r="171" spans="1:252" s="7" customFormat="1" ht="36" customHeight="1" x14ac:dyDescent="0.2">
      <c r="A171" s="21" t="s">
        <v>99</v>
      </c>
      <c r="B171" s="22" t="s">
        <v>100</v>
      </c>
      <c r="C171" s="29" t="s">
        <v>47</v>
      </c>
      <c r="D171" s="29" t="s">
        <v>189</v>
      </c>
      <c r="E171" s="28" t="s">
        <v>49</v>
      </c>
      <c r="F171" s="28" t="s">
        <v>190</v>
      </c>
      <c r="G171" s="29" t="s">
        <v>42</v>
      </c>
      <c r="H171" s="29" t="s">
        <v>103</v>
      </c>
      <c r="I171" s="28" t="s">
        <v>104</v>
      </c>
      <c r="J171" s="29" t="s">
        <v>128</v>
      </c>
      <c r="K171" s="61">
        <v>21244</v>
      </c>
      <c r="L171" s="51">
        <v>0</v>
      </c>
      <c r="M171" s="51">
        <v>0</v>
      </c>
      <c r="N171" s="51">
        <v>0</v>
      </c>
      <c r="O171" s="51">
        <f t="shared" si="8"/>
        <v>21244</v>
      </c>
      <c r="P171" s="51"/>
      <c r="Q171" s="51"/>
      <c r="R171" s="51"/>
      <c r="S171" s="51"/>
      <c r="T171" s="51"/>
      <c r="U171" s="51"/>
      <c r="V171" s="51">
        <v>5246.22</v>
      </c>
      <c r="W171" s="51">
        <v>5246.22</v>
      </c>
      <c r="X171" s="52">
        <v>5246.22</v>
      </c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  <c r="GG171" s="27"/>
      <c r="GH171" s="27"/>
      <c r="GI171" s="27"/>
      <c r="GJ171" s="27"/>
      <c r="GK171" s="27"/>
      <c r="GL171" s="27"/>
      <c r="GM171" s="27"/>
      <c r="GN171" s="27"/>
      <c r="GO171" s="27"/>
      <c r="GP171" s="27"/>
      <c r="GQ171" s="27"/>
      <c r="GR171" s="27"/>
      <c r="GS171" s="27"/>
      <c r="GT171" s="27"/>
      <c r="GU171" s="27"/>
      <c r="GV171" s="27"/>
      <c r="GW171" s="27"/>
      <c r="GX171" s="27"/>
      <c r="GY171" s="27"/>
      <c r="GZ171" s="27"/>
      <c r="HA171" s="27"/>
      <c r="HB171" s="27"/>
      <c r="HC171" s="27"/>
      <c r="HD171" s="27"/>
      <c r="HE171" s="27"/>
      <c r="HF171" s="27"/>
      <c r="HG171" s="27"/>
      <c r="HH171" s="27"/>
      <c r="HI171" s="27"/>
      <c r="HJ171" s="27"/>
      <c r="HK171" s="27"/>
      <c r="HL171" s="27"/>
      <c r="HM171" s="27"/>
      <c r="HN171" s="27"/>
      <c r="HO171" s="27"/>
      <c r="HP171" s="27"/>
      <c r="HQ171" s="27"/>
      <c r="HR171" s="27"/>
      <c r="HS171" s="27"/>
      <c r="HT171" s="27"/>
      <c r="HU171" s="27"/>
      <c r="HV171" s="27"/>
      <c r="HW171" s="27"/>
      <c r="HX171" s="27"/>
      <c r="HY171" s="27"/>
      <c r="HZ171" s="27"/>
      <c r="IA171" s="27"/>
      <c r="IB171" s="27"/>
      <c r="IC171" s="27"/>
      <c r="ID171" s="27"/>
      <c r="IE171" s="27"/>
      <c r="IF171" s="27"/>
      <c r="IG171" s="27"/>
      <c r="IH171" s="27"/>
      <c r="II171" s="27"/>
      <c r="IJ171" s="27"/>
      <c r="IK171" s="27"/>
      <c r="IL171" s="27"/>
      <c r="IM171" s="27"/>
      <c r="IN171" s="27"/>
      <c r="IO171" s="27"/>
      <c r="IP171" s="27"/>
      <c r="IQ171" s="27"/>
      <c r="IR171" s="27"/>
    </row>
    <row r="172" spans="1:252" s="7" customFormat="1" ht="36" customHeight="1" x14ac:dyDescent="0.2">
      <c r="A172" s="21" t="s">
        <v>99</v>
      </c>
      <c r="B172" s="22" t="s">
        <v>100</v>
      </c>
      <c r="C172" s="29" t="s">
        <v>47</v>
      </c>
      <c r="D172" s="29" t="s">
        <v>189</v>
      </c>
      <c r="E172" s="28" t="s">
        <v>49</v>
      </c>
      <c r="F172" s="28" t="s">
        <v>190</v>
      </c>
      <c r="G172" s="29" t="s">
        <v>42</v>
      </c>
      <c r="H172" s="62" t="s">
        <v>56</v>
      </c>
      <c r="I172" s="65" t="s">
        <v>57</v>
      </c>
      <c r="J172" s="29" t="s">
        <v>128</v>
      </c>
      <c r="K172" s="61">
        <v>0</v>
      </c>
      <c r="L172" s="51">
        <v>15300</v>
      </c>
      <c r="M172" s="51">
        <v>0</v>
      </c>
      <c r="N172" s="51">
        <v>0</v>
      </c>
      <c r="O172" s="51">
        <f t="shared" si="8"/>
        <v>15300</v>
      </c>
      <c r="P172" s="51"/>
      <c r="Q172" s="51"/>
      <c r="R172" s="51"/>
      <c r="S172" s="51"/>
      <c r="T172" s="51"/>
      <c r="U172" s="51"/>
      <c r="V172" s="51">
        <v>15300</v>
      </c>
      <c r="W172" s="51">
        <v>15300</v>
      </c>
      <c r="X172" s="52">
        <v>15300</v>
      </c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  <c r="GJ172" s="27"/>
      <c r="GK172" s="27"/>
      <c r="GL172" s="27"/>
      <c r="GM172" s="27"/>
      <c r="GN172" s="27"/>
      <c r="GO172" s="27"/>
      <c r="GP172" s="27"/>
      <c r="GQ172" s="27"/>
      <c r="GR172" s="27"/>
      <c r="GS172" s="27"/>
      <c r="GT172" s="27"/>
      <c r="GU172" s="27"/>
      <c r="GV172" s="27"/>
      <c r="GW172" s="27"/>
      <c r="GX172" s="27"/>
      <c r="GY172" s="27"/>
      <c r="GZ172" s="27"/>
      <c r="HA172" s="27"/>
      <c r="HB172" s="27"/>
      <c r="HC172" s="27"/>
      <c r="HD172" s="27"/>
      <c r="HE172" s="27"/>
      <c r="HF172" s="27"/>
      <c r="HG172" s="27"/>
      <c r="HH172" s="27"/>
      <c r="HI172" s="27"/>
      <c r="HJ172" s="27"/>
      <c r="HK172" s="27"/>
      <c r="HL172" s="27"/>
      <c r="HM172" s="27"/>
      <c r="HN172" s="27"/>
      <c r="HO172" s="27"/>
      <c r="HP172" s="27"/>
      <c r="HQ172" s="27"/>
      <c r="HR172" s="27"/>
      <c r="HS172" s="27"/>
      <c r="HT172" s="27"/>
      <c r="HU172" s="27"/>
      <c r="HV172" s="27"/>
      <c r="HW172" s="27"/>
      <c r="HX172" s="27"/>
      <c r="HY172" s="27"/>
      <c r="HZ172" s="27"/>
      <c r="IA172" s="27"/>
      <c r="IB172" s="27"/>
      <c r="IC172" s="27"/>
      <c r="ID172" s="27"/>
      <c r="IE172" s="27"/>
      <c r="IF172" s="27"/>
      <c r="IG172" s="27"/>
      <c r="IH172" s="27"/>
      <c r="II172" s="27"/>
      <c r="IJ172" s="27"/>
      <c r="IK172" s="27"/>
      <c r="IL172" s="27"/>
      <c r="IM172" s="27"/>
      <c r="IN172" s="27"/>
      <c r="IO172" s="27"/>
      <c r="IP172" s="27"/>
      <c r="IQ172" s="27"/>
      <c r="IR172" s="27"/>
    </row>
    <row r="173" spans="1:252" s="7" customFormat="1" ht="36" customHeight="1" x14ac:dyDescent="0.2">
      <c r="A173" s="21" t="s">
        <v>99</v>
      </c>
      <c r="B173" s="22" t="s">
        <v>100</v>
      </c>
      <c r="C173" s="29" t="s">
        <v>47</v>
      </c>
      <c r="D173" s="29" t="s">
        <v>191</v>
      </c>
      <c r="E173" s="28" t="s">
        <v>49</v>
      </c>
      <c r="F173" s="28" t="s">
        <v>192</v>
      </c>
      <c r="G173" s="29" t="s">
        <v>42</v>
      </c>
      <c r="H173" s="29" t="s">
        <v>103</v>
      </c>
      <c r="I173" s="28" t="s">
        <v>104</v>
      </c>
      <c r="J173" s="29" t="s">
        <v>51</v>
      </c>
      <c r="K173" s="61">
        <v>32469750</v>
      </c>
      <c r="L173" s="51">
        <f>800000-115053</f>
        <v>684947</v>
      </c>
      <c r="M173" s="51">
        <v>0</v>
      </c>
      <c r="N173" s="51">
        <v>0</v>
      </c>
      <c r="O173" s="51">
        <f t="shared" si="8"/>
        <v>33154697</v>
      </c>
      <c r="P173" s="51">
        <v>31847726.34</v>
      </c>
      <c r="Q173" s="51">
        <v>31847726.34</v>
      </c>
      <c r="R173" s="51">
        <v>31194458.510000002</v>
      </c>
      <c r="S173" s="51"/>
      <c r="T173" s="51"/>
      <c r="U173" s="51"/>
      <c r="V173" s="51"/>
      <c r="W173" s="51"/>
      <c r="X173" s="52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  <c r="GF173" s="27"/>
      <c r="GG173" s="27"/>
      <c r="GH173" s="27"/>
      <c r="GI173" s="27"/>
      <c r="GJ173" s="27"/>
      <c r="GK173" s="27"/>
      <c r="GL173" s="27"/>
      <c r="GM173" s="27"/>
      <c r="GN173" s="27"/>
      <c r="GO173" s="27"/>
      <c r="GP173" s="27"/>
      <c r="GQ173" s="27"/>
      <c r="GR173" s="27"/>
      <c r="GS173" s="27"/>
      <c r="GT173" s="27"/>
      <c r="GU173" s="27"/>
      <c r="GV173" s="27"/>
      <c r="GW173" s="27"/>
      <c r="GX173" s="27"/>
      <c r="GY173" s="27"/>
      <c r="GZ173" s="27"/>
      <c r="HA173" s="27"/>
      <c r="HB173" s="27"/>
      <c r="HC173" s="27"/>
      <c r="HD173" s="27"/>
      <c r="HE173" s="27"/>
      <c r="HF173" s="27"/>
      <c r="HG173" s="27"/>
      <c r="HH173" s="27"/>
      <c r="HI173" s="27"/>
      <c r="HJ173" s="27"/>
      <c r="HK173" s="27"/>
      <c r="HL173" s="27"/>
      <c r="HM173" s="27"/>
      <c r="HN173" s="27"/>
      <c r="HO173" s="27"/>
      <c r="HP173" s="27"/>
      <c r="HQ173" s="27"/>
      <c r="HR173" s="27"/>
      <c r="HS173" s="27"/>
      <c r="HT173" s="27"/>
      <c r="HU173" s="27"/>
      <c r="HV173" s="27"/>
      <c r="HW173" s="27"/>
      <c r="HX173" s="27"/>
      <c r="HY173" s="27"/>
      <c r="HZ173" s="27"/>
      <c r="IA173" s="27"/>
      <c r="IB173" s="27"/>
      <c r="IC173" s="27"/>
      <c r="ID173" s="27"/>
      <c r="IE173" s="27"/>
      <c r="IF173" s="27"/>
      <c r="IG173" s="27"/>
      <c r="IH173" s="27"/>
      <c r="II173" s="27"/>
      <c r="IJ173" s="27"/>
      <c r="IK173" s="27"/>
      <c r="IL173" s="27"/>
      <c r="IM173" s="27"/>
      <c r="IN173" s="27"/>
      <c r="IO173" s="27"/>
      <c r="IP173" s="27"/>
      <c r="IQ173" s="27"/>
      <c r="IR173" s="27"/>
    </row>
    <row r="174" spans="1:252" s="7" customFormat="1" ht="36" customHeight="1" x14ac:dyDescent="0.2">
      <c r="A174" s="21" t="s">
        <v>99</v>
      </c>
      <c r="B174" s="22" t="s">
        <v>100</v>
      </c>
      <c r="C174" s="29" t="s">
        <v>47</v>
      </c>
      <c r="D174" s="29" t="s">
        <v>191</v>
      </c>
      <c r="E174" s="28" t="s">
        <v>49</v>
      </c>
      <c r="F174" s="28" t="s">
        <v>192</v>
      </c>
      <c r="G174" s="29" t="s">
        <v>42</v>
      </c>
      <c r="H174" s="29" t="s">
        <v>54</v>
      </c>
      <c r="I174" s="28" t="s">
        <v>55</v>
      </c>
      <c r="J174" s="29" t="s">
        <v>51</v>
      </c>
      <c r="K174" s="61">
        <v>0</v>
      </c>
      <c r="L174" s="51">
        <v>2030000</v>
      </c>
      <c r="M174" s="51">
        <v>0</v>
      </c>
      <c r="N174" s="51">
        <v>0</v>
      </c>
      <c r="O174" s="51">
        <f t="shared" si="8"/>
        <v>2030000</v>
      </c>
      <c r="P174" s="51">
        <v>1845735.42</v>
      </c>
      <c r="Q174" s="51">
        <v>1845735.42</v>
      </c>
      <c r="R174" s="51">
        <v>1632335.42</v>
      </c>
      <c r="S174" s="51"/>
      <c r="T174" s="51"/>
      <c r="U174" s="51"/>
      <c r="V174" s="51"/>
      <c r="W174" s="51"/>
      <c r="X174" s="52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  <c r="GJ174" s="27"/>
      <c r="GK174" s="27"/>
      <c r="GL174" s="27"/>
      <c r="GM174" s="27"/>
      <c r="GN174" s="27"/>
      <c r="GO174" s="27"/>
      <c r="GP174" s="27"/>
      <c r="GQ174" s="27"/>
      <c r="GR174" s="27"/>
      <c r="GS174" s="27"/>
      <c r="GT174" s="27"/>
      <c r="GU174" s="27"/>
      <c r="GV174" s="27"/>
      <c r="GW174" s="27"/>
      <c r="GX174" s="27"/>
      <c r="GY174" s="27"/>
      <c r="GZ174" s="27"/>
      <c r="HA174" s="27"/>
      <c r="HB174" s="27"/>
      <c r="HC174" s="27"/>
      <c r="HD174" s="27"/>
      <c r="HE174" s="27"/>
      <c r="HF174" s="27"/>
      <c r="HG174" s="27"/>
      <c r="HH174" s="27"/>
      <c r="HI174" s="27"/>
      <c r="HJ174" s="27"/>
      <c r="HK174" s="27"/>
      <c r="HL174" s="27"/>
      <c r="HM174" s="27"/>
      <c r="HN174" s="27"/>
      <c r="HO174" s="27"/>
      <c r="HP174" s="27"/>
      <c r="HQ174" s="27"/>
      <c r="HR174" s="27"/>
      <c r="HS174" s="27"/>
      <c r="HT174" s="27"/>
      <c r="HU174" s="27"/>
      <c r="HV174" s="27"/>
      <c r="HW174" s="27"/>
      <c r="HX174" s="27"/>
      <c r="HY174" s="27"/>
      <c r="HZ174" s="27"/>
      <c r="IA174" s="27"/>
      <c r="IB174" s="27"/>
      <c r="IC174" s="27"/>
      <c r="ID174" s="27"/>
      <c r="IE174" s="27"/>
      <c r="IF174" s="27"/>
      <c r="IG174" s="27"/>
      <c r="IH174" s="27"/>
      <c r="II174" s="27"/>
      <c r="IJ174" s="27"/>
      <c r="IK174" s="27"/>
      <c r="IL174" s="27"/>
      <c r="IM174" s="27"/>
      <c r="IN174" s="27"/>
      <c r="IO174" s="27"/>
      <c r="IP174" s="27"/>
      <c r="IQ174" s="27"/>
      <c r="IR174" s="27"/>
    </row>
    <row r="175" spans="1:252" s="7" customFormat="1" ht="36" customHeight="1" x14ac:dyDescent="0.2">
      <c r="A175" s="21" t="s">
        <v>99</v>
      </c>
      <c r="B175" s="22" t="s">
        <v>100</v>
      </c>
      <c r="C175" s="29" t="s">
        <v>47</v>
      </c>
      <c r="D175" s="29" t="s">
        <v>191</v>
      </c>
      <c r="E175" s="28" t="s">
        <v>49</v>
      </c>
      <c r="F175" s="28" t="s">
        <v>192</v>
      </c>
      <c r="G175" s="29" t="s">
        <v>42</v>
      </c>
      <c r="H175" s="62" t="s">
        <v>56</v>
      </c>
      <c r="I175" s="65" t="s">
        <v>57</v>
      </c>
      <c r="J175" s="29" t="s">
        <v>51</v>
      </c>
      <c r="K175" s="61">
        <v>0</v>
      </c>
      <c r="L175" s="51">
        <v>155138.69</v>
      </c>
      <c r="M175" s="51">
        <v>0</v>
      </c>
      <c r="N175" s="51">
        <v>0</v>
      </c>
      <c r="O175" s="51">
        <f t="shared" si="8"/>
        <v>155138.69</v>
      </c>
      <c r="P175" s="51">
        <v>42427.82</v>
      </c>
      <c r="Q175" s="51">
        <v>42427.82</v>
      </c>
      <c r="R175" s="51">
        <v>39797.82</v>
      </c>
      <c r="S175" s="51"/>
      <c r="T175" s="51"/>
      <c r="U175" s="51"/>
      <c r="V175" s="51"/>
      <c r="W175" s="51"/>
      <c r="X175" s="52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F175" s="27"/>
      <c r="GG175" s="27"/>
      <c r="GH175" s="27"/>
      <c r="GI175" s="27"/>
      <c r="GJ175" s="27"/>
      <c r="GK175" s="27"/>
      <c r="GL175" s="27"/>
      <c r="GM175" s="27"/>
      <c r="GN175" s="27"/>
      <c r="GO175" s="27"/>
      <c r="GP175" s="27"/>
      <c r="GQ175" s="27"/>
      <c r="GR175" s="27"/>
      <c r="GS175" s="27"/>
      <c r="GT175" s="27"/>
      <c r="GU175" s="27"/>
      <c r="GV175" s="27"/>
      <c r="GW175" s="27"/>
      <c r="GX175" s="27"/>
      <c r="GY175" s="27"/>
      <c r="GZ175" s="27"/>
      <c r="HA175" s="27"/>
      <c r="HB175" s="27"/>
      <c r="HC175" s="27"/>
      <c r="HD175" s="27"/>
      <c r="HE175" s="27"/>
      <c r="HF175" s="27"/>
      <c r="HG175" s="27"/>
      <c r="HH175" s="27"/>
      <c r="HI175" s="27"/>
      <c r="HJ175" s="27"/>
      <c r="HK175" s="27"/>
      <c r="HL175" s="27"/>
      <c r="HM175" s="27"/>
      <c r="HN175" s="27"/>
      <c r="HO175" s="27"/>
      <c r="HP175" s="27"/>
      <c r="HQ175" s="27"/>
      <c r="HR175" s="27"/>
      <c r="HS175" s="27"/>
      <c r="HT175" s="27"/>
      <c r="HU175" s="27"/>
      <c r="HV175" s="27"/>
      <c r="HW175" s="27"/>
      <c r="HX175" s="27"/>
      <c r="HY175" s="27"/>
      <c r="HZ175" s="27"/>
      <c r="IA175" s="27"/>
      <c r="IB175" s="27"/>
      <c r="IC175" s="27"/>
      <c r="ID175" s="27"/>
      <c r="IE175" s="27"/>
      <c r="IF175" s="27"/>
      <c r="IG175" s="27"/>
      <c r="IH175" s="27"/>
      <c r="II175" s="27"/>
      <c r="IJ175" s="27"/>
      <c r="IK175" s="27"/>
      <c r="IL175" s="27"/>
      <c r="IM175" s="27"/>
      <c r="IN175" s="27"/>
      <c r="IO175" s="27"/>
      <c r="IP175" s="27"/>
      <c r="IQ175" s="27"/>
      <c r="IR175" s="27"/>
    </row>
    <row r="176" spans="1:252" s="7" customFormat="1" ht="36" customHeight="1" x14ac:dyDescent="0.2">
      <c r="A176" s="21" t="s">
        <v>99</v>
      </c>
      <c r="B176" s="22" t="s">
        <v>100</v>
      </c>
      <c r="C176" s="29" t="s">
        <v>47</v>
      </c>
      <c r="D176" s="29" t="s">
        <v>191</v>
      </c>
      <c r="E176" s="28" t="s">
        <v>49</v>
      </c>
      <c r="F176" s="28" t="s">
        <v>192</v>
      </c>
      <c r="G176" s="29" t="s">
        <v>42</v>
      </c>
      <c r="H176" s="62" t="s">
        <v>136</v>
      </c>
      <c r="I176" s="63" t="s">
        <v>137</v>
      </c>
      <c r="J176" s="29" t="s">
        <v>51</v>
      </c>
      <c r="K176" s="61">
        <v>0</v>
      </c>
      <c r="L176" s="51">
        <v>460000</v>
      </c>
      <c r="M176" s="51">
        <v>0</v>
      </c>
      <c r="N176" s="51">
        <v>0</v>
      </c>
      <c r="O176" s="51">
        <f t="shared" si="8"/>
        <v>460000</v>
      </c>
      <c r="P176" s="51">
        <v>459374.09</v>
      </c>
      <c r="Q176" s="51">
        <v>459374.09</v>
      </c>
      <c r="R176" s="51">
        <v>349861.09</v>
      </c>
      <c r="S176" s="51"/>
      <c r="T176" s="51"/>
      <c r="U176" s="51"/>
      <c r="V176" s="51"/>
      <c r="W176" s="51"/>
      <c r="X176" s="52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  <c r="GG176" s="27"/>
      <c r="GH176" s="27"/>
      <c r="GI176" s="27"/>
      <c r="GJ176" s="27"/>
      <c r="GK176" s="27"/>
      <c r="GL176" s="27"/>
      <c r="GM176" s="27"/>
      <c r="GN176" s="27"/>
      <c r="GO176" s="27"/>
      <c r="GP176" s="27"/>
      <c r="GQ176" s="27"/>
      <c r="GR176" s="27"/>
      <c r="GS176" s="27"/>
      <c r="GT176" s="27"/>
      <c r="GU176" s="27"/>
      <c r="GV176" s="27"/>
      <c r="GW176" s="27"/>
      <c r="GX176" s="27"/>
      <c r="GY176" s="27"/>
      <c r="GZ176" s="27"/>
      <c r="HA176" s="27"/>
      <c r="HB176" s="27"/>
      <c r="HC176" s="27"/>
      <c r="HD176" s="27"/>
      <c r="HE176" s="27"/>
      <c r="HF176" s="27"/>
      <c r="HG176" s="27"/>
      <c r="HH176" s="27"/>
      <c r="HI176" s="27"/>
      <c r="HJ176" s="27"/>
      <c r="HK176" s="27"/>
      <c r="HL176" s="27"/>
      <c r="HM176" s="27"/>
      <c r="HN176" s="27"/>
      <c r="HO176" s="27"/>
      <c r="HP176" s="27"/>
      <c r="HQ176" s="27"/>
      <c r="HR176" s="27"/>
      <c r="HS176" s="27"/>
      <c r="HT176" s="27"/>
      <c r="HU176" s="27"/>
      <c r="HV176" s="27"/>
      <c r="HW176" s="27"/>
      <c r="HX176" s="27"/>
      <c r="HY176" s="27"/>
      <c r="HZ176" s="27"/>
      <c r="IA176" s="27"/>
      <c r="IB176" s="27"/>
      <c r="IC176" s="27"/>
      <c r="ID176" s="27"/>
      <c r="IE176" s="27"/>
      <c r="IF176" s="27"/>
      <c r="IG176" s="27"/>
      <c r="IH176" s="27"/>
      <c r="II176" s="27"/>
      <c r="IJ176" s="27"/>
      <c r="IK176" s="27"/>
      <c r="IL176" s="27"/>
      <c r="IM176" s="27"/>
      <c r="IN176" s="27"/>
      <c r="IO176" s="27"/>
      <c r="IP176" s="27"/>
      <c r="IQ176" s="27"/>
      <c r="IR176" s="27"/>
    </row>
    <row r="177" spans="1:252" s="7" customFormat="1" ht="36" customHeight="1" x14ac:dyDescent="0.2">
      <c r="A177" s="21" t="s">
        <v>99</v>
      </c>
      <c r="B177" s="22" t="s">
        <v>100</v>
      </c>
      <c r="C177" s="29" t="s">
        <v>47</v>
      </c>
      <c r="D177" s="29" t="s">
        <v>191</v>
      </c>
      <c r="E177" s="28" t="s">
        <v>49</v>
      </c>
      <c r="F177" s="28" t="s">
        <v>192</v>
      </c>
      <c r="G177" s="29" t="s">
        <v>42</v>
      </c>
      <c r="H177" s="29" t="s">
        <v>179</v>
      </c>
      <c r="I177" s="28" t="s">
        <v>180</v>
      </c>
      <c r="J177" s="29" t="s">
        <v>51</v>
      </c>
      <c r="K177" s="61">
        <v>0</v>
      </c>
      <c r="L177" s="51">
        <v>17160</v>
      </c>
      <c r="M177" s="51">
        <v>0</v>
      </c>
      <c r="N177" s="51">
        <v>0</v>
      </c>
      <c r="O177" s="51">
        <f t="shared" si="8"/>
        <v>17160</v>
      </c>
      <c r="P177" s="51">
        <v>0</v>
      </c>
      <c r="Q177" s="51">
        <v>0</v>
      </c>
      <c r="R177" s="51">
        <v>0</v>
      </c>
      <c r="S177" s="51"/>
      <c r="T177" s="51"/>
      <c r="U177" s="51"/>
      <c r="V177" s="51"/>
      <c r="W177" s="51"/>
      <c r="X177" s="52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  <c r="GJ177" s="27"/>
      <c r="GK177" s="27"/>
      <c r="GL177" s="27"/>
      <c r="GM177" s="27"/>
      <c r="GN177" s="27"/>
      <c r="GO177" s="27"/>
      <c r="GP177" s="27"/>
      <c r="GQ177" s="27"/>
      <c r="GR177" s="27"/>
      <c r="GS177" s="27"/>
      <c r="GT177" s="27"/>
      <c r="GU177" s="27"/>
      <c r="GV177" s="27"/>
      <c r="GW177" s="27"/>
      <c r="GX177" s="27"/>
      <c r="GY177" s="27"/>
      <c r="GZ177" s="27"/>
      <c r="HA177" s="27"/>
      <c r="HB177" s="27"/>
      <c r="HC177" s="27"/>
      <c r="HD177" s="27"/>
      <c r="HE177" s="27"/>
      <c r="HF177" s="27"/>
      <c r="HG177" s="27"/>
      <c r="HH177" s="27"/>
      <c r="HI177" s="27"/>
      <c r="HJ177" s="27"/>
      <c r="HK177" s="27"/>
      <c r="HL177" s="27"/>
      <c r="HM177" s="27"/>
      <c r="HN177" s="27"/>
      <c r="HO177" s="27"/>
      <c r="HP177" s="27"/>
      <c r="HQ177" s="27"/>
      <c r="HR177" s="27"/>
      <c r="HS177" s="27"/>
      <c r="HT177" s="27"/>
      <c r="HU177" s="27"/>
      <c r="HV177" s="27"/>
      <c r="HW177" s="27"/>
      <c r="HX177" s="27"/>
      <c r="HY177" s="27"/>
      <c r="HZ177" s="27"/>
      <c r="IA177" s="27"/>
      <c r="IB177" s="27"/>
      <c r="IC177" s="27"/>
      <c r="ID177" s="27"/>
      <c r="IE177" s="27"/>
      <c r="IF177" s="27"/>
      <c r="IG177" s="27"/>
      <c r="IH177" s="27"/>
      <c r="II177" s="27"/>
      <c r="IJ177" s="27"/>
      <c r="IK177" s="27"/>
      <c r="IL177" s="27"/>
      <c r="IM177" s="27"/>
      <c r="IN177" s="27"/>
      <c r="IO177" s="27"/>
      <c r="IP177" s="27"/>
      <c r="IQ177" s="27"/>
      <c r="IR177" s="27"/>
    </row>
    <row r="178" spans="1:252" s="7" customFormat="1" ht="36" customHeight="1" x14ac:dyDescent="0.2">
      <c r="A178" s="21" t="s">
        <v>99</v>
      </c>
      <c r="B178" s="22" t="s">
        <v>100</v>
      </c>
      <c r="C178" s="29" t="s">
        <v>47</v>
      </c>
      <c r="D178" s="29" t="s">
        <v>193</v>
      </c>
      <c r="E178" s="28" t="s">
        <v>49</v>
      </c>
      <c r="F178" s="28" t="s">
        <v>194</v>
      </c>
      <c r="G178" s="29" t="s">
        <v>42</v>
      </c>
      <c r="H178" s="29" t="s">
        <v>103</v>
      </c>
      <c r="I178" s="28" t="s">
        <v>104</v>
      </c>
      <c r="J178" s="29" t="s">
        <v>51</v>
      </c>
      <c r="K178" s="61">
        <v>6938500</v>
      </c>
      <c r="L178" s="51">
        <v>1150000</v>
      </c>
      <c r="M178" s="51">
        <v>0</v>
      </c>
      <c r="N178" s="51">
        <v>0</v>
      </c>
      <c r="O178" s="51">
        <f t="shared" si="8"/>
        <v>8088500</v>
      </c>
      <c r="P178" s="51"/>
      <c r="Q178" s="51"/>
      <c r="R178" s="51"/>
      <c r="S178" s="51">
        <v>7366666.4000000004</v>
      </c>
      <c r="T178" s="51">
        <v>7366666.4000000004</v>
      </c>
      <c r="U178" s="51">
        <v>7306822.7199999997</v>
      </c>
      <c r="V178" s="51"/>
      <c r="W178" s="51"/>
      <c r="X178" s="52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F178" s="27"/>
      <c r="GG178" s="27"/>
      <c r="GH178" s="27"/>
      <c r="GI178" s="27"/>
      <c r="GJ178" s="27"/>
      <c r="GK178" s="27"/>
      <c r="GL178" s="27"/>
      <c r="GM178" s="27"/>
      <c r="GN178" s="27"/>
      <c r="GO178" s="27"/>
      <c r="GP178" s="27"/>
      <c r="GQ178" s="27"/>
      <c r="GR178" s="27"/>
      <c r="GS178" s="27"/>
      <c r="GT178" s="27"/>
      <c r="GU178" s="27"/>
      <c r="GV178" s="27"/>
      <c r="GW178" s="27"/>
      <c r="GX178" s="27"/>
      <c r="GY178" s="27"/>
      <c r="GZ178" s="27"/>
      <c r="HA178" s="27"/>
      <c r="HB178" s="27"/>
      <c r="HC178" s="27"/>
      <c r="HD178" s="27"/>
      <c r="HE178" s="27"/>
      <c r="HF178" s="27"/>
      <c r="HG178" s="27"/>
      <c r="HH178" s="27"/>
      <c r="HI178" s="27"/>
      <c r="HJ178" s="27"/>
      <c r="HK178" s="27"/>
      <c r="HL178" s="27"/>
      <c r="HM178" s="27"/>
      <c r="HN178" s="27"/>
      <c r="HO178" s="27"/>
      <c r="HP178" s="27"/>
      <c r="HQ178" s="27"/>
      <c r="HR178" s="27"/>
      <c r="HS178" s="27"/>
      <c r="HT178" s="27"/>
      <c r="HU178" s="27"/>
      <c r="HV178" s="27"/>
      <c r="HW178" s="27"/>
      <c r="HX178" s="27"/>
      <c r="HY178" s="27"/>
      <c r="HZ178" s="27"/>
      <c r="IA178" s="27"/>
      <c r="IB178" s="27"/>
      <c r="IC178" s="27"/>
      <c r="ID178" s="27"/>
      <c r="IE178" s="27"/>
      <c r="IF178" s="27"/>
      <c r="IG178" s="27"/>
      <c r="IH178" s="27"/>
      <c r="II178" s="27"/>
      <c r="IJ178" s="27"/>
      <c r="IK178" s="27"/>
      <c r="IL178" s="27"/>
      <c r="IM178" s="27"/>
      <c r="IN178" s="27"/>
      <c r="IO178" s="27"/>
      <c r="IP178" s="27"/>
      <c r="IQ178" s="27"/>
      <c r="IR178" s="27"/>
    </row>
    <row r="179" spans="1:252" s="7" customFormat="1" ht="36" customHeight="1" x14ac:dyDescent="0.2">
      <c r="A179" s="21" t="s">
        <v>99</v>
      </c>
      <c r="B179" s="22" t="s">
        <v>100</v>
      </c>
      <c r="C179" s="29" t="s">
        <v>47</v>
      </c>
      <c r="D179" s="29" t="s">
        <v>193</v>
      </c>
      <c r="E179" s="28" t="s">
        <v>49</v>
      </c>
      <c r="F179" s="28" t="s">
        <v>194</v>
      </c>
      <c r="G179" s="29" t="s">
        <v>42</v>
      </c>
      <c r="H179" s="29" t="s">
        <v>54</v>
      </c>
      <c r="I179" s="28" t="s">
        <v>55</v>
      </c>
      <c r="J179" s="29" t="s">
        <v>51</v>
      </c>
      <c r="K179" s="61">
        <v>0</v>
      </c>
      <c r="L179" s="51">
        <v>515000</v>
      </c>
      <c r="M179" s="51">
        <v>0</v>
      </c>
      <c r="N179" s="51">
        <v>0</v>
      </c>
      <c r="O179" s="51">
        <f t="shared" si="8"/>
        <v>515000</v>
      </c>
      <c r="P179" s="51"/>
      <c r="Q179" s="51"/>
      <c r="R179" s="51"/>
      <c r="S179" s="51">
        <v>241115.87</v>
      </c>
      <c r="T179" s="51">
        <v>241115.87</v>
      </c>
      <c r="U179" s="51">
        <v>142101.13</v>
      </c>
      <c r="V179" s="51"/>
      <c r="W179" s="51"/>
      <c r="X179" s="52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7"/>
      <c r="GE179" s="27"/>
      <c r="GF179" s="27"/>
      <c r="GG179" s="27"/>
      <c r="GH179" s="27"/>
      <c r="GI179" s="27"/>
      <c r="GJ179" s="27"/>
      <c r="GK179" s="27"/>
      <c r="GL179" s="27"/>
      <c r="GM179" s="27"/>
      <c r="GN179" s="27"/>
      <c r="GO179" s="27"/>
      <c r="GP179" s="27"/>
      <c r="GQ179" s="27"/>
      <c r="GR179" s="27"/>
      <c r="GS179" s="27"/>
      <c r="GT179" s="27"/>
      <c r="GU179" s="27"/>
      <c r="GV179" s="27"/>
      <c r="GW179" s="27"/>
      <c r="GX179" s="27"/>
      <c r="GY179" s="27"/>
      <c r="GZ179" s="27"/>
      <c r="HA179" s="27"/>
      <c r="HB179" s="27"/>
      <c r="HC179" s="27"/>
      <c r="HD179" s="27"/>
      <c r="HE179" s="27"/>
      <c r="HF179" s="27"/>
      <c r="HG179" s="27"/>
      <c r="HH179" s="27"/>
      <c r="HI179" s="27"/>
      <c r="HJ179" s="27"/>
      <c r="HK179" s="27"/>
      <c r="HL179" s="27"/>
      <c r="HM179" s="27"/>
      <c r="HN179" s="27"/>
      <c r="HO179" s="27"/>
      <c r="HP179" s="27"/>
      <c r="HQ179" s="27"/>
      <c r="HR179" s="27"/>
      <c r="HS179" s="27"/>
      <c r="HT179" s="27"/>
      <c r="HU179" s="27"/>
      <c r="HV179" s="27"/>
      <c r="HW179" s="27"/>
      <c r="HX179" s="27"/>
      <c r="HY179" s="27"/>
      <c r="HZ179" s="27"/>
      <c r="IA179" s="27"/>
      <c r="IB179" s="27"/>
      <c r="IC179" s="27"/>
      <c r="ID179" s="27"/>
      <c r="IE179" s="27"/>
      <c r="IF179" s="27"/>
      <c r="IG179" s="27"/>
      <c r="IH179" s="27"/>
      <c r="II179" s="27"/>
      <c r="IJ179" s="27"/>
      <c r="IK179" s="27"/>
      <c r="IL179" s="27"/>
      <c r="IM179" s="27"/>
      <c r="IN179" s="27"/>
      <c r="IO179" s="27"/>
      <c r="IP179" s="27"/>
      <c r="IQ179" s="27"/>
      <c r="IR179" s="27"/>
    </row>
    <row r="180" spans="1:252" s="7" customFormat="1" ht="36" customHeight="1" x14ac:dyDescent="0.2">
      <c r="A180" s="21" t="s">
        <v>99</v>
      </c>
      <c r="B180" s="22" t="s">
        <v>100</v>
      </c>
      <c r="C180" s="29" t="s">
        <v>47</v>
      </c>
      <c r="D180" s="29" t="s">
        <v>193</v>
      </c>
      <c r="E180" s="28" t="s">
        <v>49</v>
      </c>
      <c r="F180" s="28" t="s">
        <v>194</v>
      </c>
      <c r="G180" s="29" t="s">
        <v>42</v>
      </c>
      <c r="H180" s="62" t="s">
        <v>56</v>
      </c>
      <c r="I180" s="65" t="s">
        <v>57</v>
      </c>
      <c r="J180" s="29" t="s">
        <v>51</v>
      </c>
      <c r="K180" s="61">
        <v>0</v>
      </c>
      <c r="L180" s="51">
        <v>20466.38</v>
      </c>
      <c r="M180" s="51">
        <v>0</v>
      </c>
      <c r="N180" s="51">
        <v>0</v>
      </c>
      <c r="O180" s="51">
        <f t="shared" si="8"/>
        <v>20466.38</v>
      </c>
      <c r="P180" s="51"/>
      <c r="Q180" s="51"/>
      <c r="R180" s="51"/>
      <c r="S180" s="51">
        <v>7359</v>
      </c>
      <c r="T180" s="51">
        <v>7359</v>
      </c>
      <c r="U180" s="51">
        <v>6570</v>
      </c>
      <c r="V180" s="51"/>
      <c r="W180" s="51"/>
      <c r="X180" s="52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  <c r="HW180" s="27"/>
      <c r="HX180" s="27"/>
      <c r="HY180" s="27"/>
      <c r="HZ180" s="27"/>
      <c r="IA180" s="27"/>
      <c r="IB180" s="27"/>
      <c r="IC180" s="27"/>
      <c r="ID180" s="27"/>
      <c r="IE180" s="27"/>
      <c r="IF180" s="27"/>
      <c r="IG180" s="27"/>
      <c r="IH180" s="27"/>
      <c r="II180" s="27"/>
      <c r="IJ180" s="27"/>
      <c r="IK180" s="27"/>
      <c r="IL180" s="27"/>
      <c r="IM180" s="27"/>
      <c r="IN180" s="27"/>
      <c r="IO180" s="27"/>
      <c r="IP180" s="27"/>
      <c r="IQ180" s="27"/>
      <c r="IR180" s="27"/>
    </row>
    <row r="181" spans="1:252" s="7" customFormat="1" ht="36" customHeight="1" x14ac:dyDescent="0.2">
      <c r="A181" s="21" t="s">
        <v>99</v>
      </c>
      <c r="B181" s="22" t="s">
        <v>100</v>
      </c>
      <c r="C181" s="29" t="s">
        <v>47</v>
      </c>
      <c r="D181" s="29" t="s">
        <v>193</v>
      </c>
      <c r="E181" s="28" t="s">
        <v>49</v>
      </c>
      <c r="F181" s="28" t="s">
        <v>194</v>
      </c>
      <c r="G181" s="29" t="s">
        <v>42</v>
      </c>
      <c r="H181" s="29" t="s">
        <v>179</v>
      </c>
      <c r="I181" s="28" t="s">
        <v>180</v>
      </c>
      <c r="J181" s="29" t="s">
        <v>51</v>
      </c>
      <c r="K181" s="61">
        <v>0</v>
      </c>
      <c r="L181" s="51">
        <v>2442</v>
      </c>
      <c r="M181" s="51">
        <v>0</v>
      </c>
      <c r="N181" s="51">
        <v>0</v>
      </c>
      <c r="O181" s="51">
        <f t="shared" si="8"/>
        <v>2442</v>
      </c>
      <c r="P181" s="51"/>
      <c r="Q181" s="51"/>
      <c r="R181" s="51"/>
      <c r="S181" s="51">
        <v>0</v>
      </c>
      <c r="T181" s="51">
        <v>0</v>
      </c>
      <c r="U181" s="51">
        <v>0</v>
      </c>
      <c r="V181" s="51"/>
      <c r="W181" s="51"/>
      <c r="X181" s="52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  <c r="IH181" s="27"/>
      <c r="II181" s="27"/>
      <c r="IJ181" s="27"/>
      <c r="IK181" s="27"/>
      <c r="IL181" s="27"/>
      <c r="IM181" s="27"/>
      <c r="IN181" s="27"/>
      <c r="IO181" s="27"/>
      <c r="IP181" s="27"/>
      <c r="IQ181" s="27"/>
      <c r="IR181" s="27"/>
    </row>
    <row r="182" spans="1:252" s="7" customFormat="1" ht="36" customHeight="1" x14ac:dyDescent="0.2">
      <c r="A182" s="21" t="s">
        <v>99</v>
      </c>
      <c r="B182" s="22" t="s">
        <v>100</v>
      </c>
      <c r="C182" s="29" t="s">
        <v>47</v>
      </c>
      <c r="D182" s="29" t="s">
        <v>195</v>
      </c>
      <c r="E182" s="28" t="s">
        <v>49</v>
      </c>
      <c r="F182" s="28" t="s">
        <v>196</v>
      </c>
      <c r="G182" s="29" t="s">
        <v>42</v>
      </c>
      <c r="H182" s="29" t="s">
        <v>52</v>
      </c>
      <c r="I182" s="28" t="s">
        <v>53</v>
      </c>
      <c r="J182" s="29" t="s">
        <v>51</v>
      </c>
      <c r="K182" s="61">
        <v>68769</v>
      </c>
      <c r="L182" s="51">
        <v>0</v>
      </c>
      <c r="M182" s="51">
        <v>0</v>
      </c>
      <c r="N182" s="51">
        <v>0</v>
      </c>
      <c r="O182" s="51">
        <f t="shared" si="8"/>
        <v>68769</v>
      </c>
      <c r="P182" s="51"/>
      <c r="Q182" s="51"/>
      <c r="R182" s="51"/>
      <c r="S182" s="51"/>
      <c r="T182" s="51"/>
      <c r="U182" s="51"/>
      <c r="V182" s="51">
        <v>0</v>
      </c>
      <c r="W182" s="51">
        <v>0</v>
      </c>
      <c r="X182" s="52">
        <v>0</v>
      </c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  <c r="IH182" s="27"/>
      <c r="II182" s="27"/>
      <c r="IJ182" s="27"/>
      <c r="IK182" s="27"/>
      <c r="IL182" s="27"/>
      <c r="IM182" s="27"/>
      <c r="IN182" s="27"/>
      <c r="IO182" s="27"/>
      <c r="IP182" s="27"/>
      <c r="IQ182" s="27"/>
      <c r="IR182" s="27"/>
    </row>
    <row r="183" spans="1:252" s="7" customFormat="1" ht="36" customHeight="1" x14ac:dyDescent="0.2">
      <c r="A183" s="21" t="s">
        <v>99</v>
      </c>
      <c r="B183" s="22" t="s">
        <v>100</v>
      </c>
      <c r="C183" s="29" t="s">
        <v>47</v>
      </c>
      <c r="D183" s="29" t="s">
        <v>195</v>
      </c>
      <c r="E183" s="28" t="s">
        <v>49</v>
      </c>
      <c r="F183" s="28" t="s">
        <v>196</v>
      </c>
      <c r="G183" s="29" t="s">
        <v>42</v>
      </c>
      <c r="H183" s="29" t="s">
        <v>103</v>
      </c>
      <c r="I183" s="28" t="s">
        <v>104</v>
      </c>
      <c r="J183" s="29" t="s">
        <v>51</v>
      </c>
      <c r="K183" s="61">
        <v>13477507</v>
      </c>
      <c r="L183" s="51">
        <v>1225000</v>
      </c>
      <c r="M183" s="51">
        <v>0</v>
      </c>
      <c r="N183" s="51">
        <v>-1661605.24</v>
      </c>
      <c r="O183" s="51">
        <f t="shared" si="8"/>
        <v>13040901.76</v>
      </c>
      <c r="P183" s="51"/>
      <c r="Q183" s="51"/>
      <c r="R183" s="51"/>
      <c r="S183" s="51"/>
      <c r="T183" s="51"/>
      <c r="U183" s="51"/>
      <c r="V183" s="51">
        <v>12154046.140000001</v>
      </c>
      <c r="W183" s="51">
        <v>12154046.140000001</v>
      </c>
      <c r="X183" s="52">
        <v>12009343.619999999</v>
      </c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  <c r="GF183" s="27"/>
      <c r="GG183" s="27"/>
      <c r="GH183" s="27"/>
      <c r="GI183" s="27"/>
      <c r="GJ183" s="27"/>
      <c r="GK183" s="27"/>
      <c r="GL183" s="27"/>
      <c r="GM183" s="27"/>
      <c r="GN183" s="27"/>
      <c r="GO183" s="27"/>
      <c r="GP183" s="27"/>
      <c r="GQ183" s="27"/>
      <c r="GR183" s="27"/>
      <c r="GS183" s="27"/>
      <c r="GT183" s="27"/>
      <c r="GU183" s="27"/>
      <c r="GV183" s="27"/>
      <c r="GW183" s="27"/>
      <c r="GX183" s="27"/>
      <c r="GY183" s="27"/>
      <c r="GZ183" s="27"/>
      <c r="HA183" s="27"/>
      <c r="HB183" s="27"/>
      <c r="HC183" s="27"/>
      <c r="HD183" s="27"/>
      <c r="HE183" s="27"/>
      <c r="HF183" s="27"/>
      <c r="HG183" s="27"/>
      <c r="HH183" s="27"/>
      <c r="HI183" s="27"/>
      <c r="HJ183" s="27"/>
      <c r="HK183" s="27"/>
      <c r="HL183" s="27"/>
      <c r="HM183" s="27"/>
      <c r="HN183" s="27"/>
      <c r="HO183" s="27"/>
      <c r="HP183" s="27"/>
      <c r="HQ183" s="27"/>
      <c r="HR183" s="27"/>
      <c r="HS183" s="27"/>
      <c r="HT183" s="27"/>
      <c r="HU183" s="27"/>
      <c r="HV183" s="27"/>
      <c r="HW183" s="27"/>
      <c r="HX183" s="27"/>
      <c r="HY183" s="27"/>
      <c r="HZ183" s="27"/>
      <c r="IA183" s="27"/>
      <c r="IB183" s="27"/>
      <c r="IC183" s="27"/>
      <c r="ID183" s="27"/>
      <c r="IE183" s="27"/>
      <c r="IF183" s="27"/>
      <c r="IG183" s="27"/>
      <c r="IH183" s="27"/>
      <c r="II183" s="27"/>
      <c r="IJ183" s="27"/>
      <c r="IK183" s="27"/>
      <c r="IL183" s="27"/>
      <c r="IM183" s="27"/>
      <c r="IN183" s="27"/>
      <c r="IO183" s="27"/>
      <c r="IP183" s="27"/>
      <c r="IQ183" s="27"/>
      <c r="IR183" s="27"/>
    </row>
    <row r="184" spans="1:252" s="7" customFormat="1" ht="36" customHeight="1" x14ac:dyDescent="0.2">
      <c r="A184" s="21" t="s">
        <v>99</v>
      </c>
      <c r="B184" s="22" t="s">
        <v>100</v>
      </c>
      <c r="C184" s="29" t="s">
        <v>47</v>
      </c>
      <c r="D184" s="29" t="s">
        <v>195</v>
      </c>
      <c r="E184" s="28" t="s">
        <v>49</v>
      </c>
      <c r="F184" s="28" t="s">
        <v>196</v>
      </c>
      <c r="G184" s="29" t="s">
        <v>42</v>
      </c>
      <c r="H184" s="29" t="s">
        <v>54</v>
      </c>
      <c r="I184" s="28" t="s">
        <v>55</v>
      </c>
      <c r="J184" s="29" t="s">
        <v>51</v>
      </c>
      <c r="K184" s="51">
        <v>0</v>
      </c>
      <c r="L184" s="51">
        <v>430000</v>
      </c>
      <c r="M184" s="51">
        <v>0</v>
      </c>
      <c r="N184" s="51">
        <v>0</v>
      </c>
      <c r="O184" s="51">
        <f t="shared" si="8"/>
        <v>430000</v>
      </c>
      <c r="P184" s="51"/>
      <c r="Q184" s="51"/>
      <c r="R184" s="51"/>
      <c r="S184" s="51"/>
      <c r="T184" s="51"/>
      <c r="U184" s="51"/>
      <c r="V184" s="51">
        <v>344906.62</v>
      </c>
      <c r="W184" s="51">
        <v>344906.62</v>
      </c>
      <c r="X184" s="52">
        <v>344906.62</v>
      </c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  <c r="GF184" s="27"/>
      <c r="GG184" s="27"/>
      <c r="GH184" s="27"/>
      <c r="GI184" s="27"/>
      <c r="GJ184" s="27"/>
      <c r="GK184" s="27"/>
      <c r="GL184" s="27"/>
      <c r="GM184" s="27"/>
      <c r="GN184" s="27"/>
      <c r="GO184" s="27"/>
      <c r="GP184" s="27"/>
      <c r="GQ184" s="27"/>
      <c r="GR184" s="27"/>
      <c r="GS184" s="27"/>
      <c r="GT184" s="27"/>
      <c r="GU184" s="27"/>
      <c r="GV184" s="27"/>
      <c r="GW184" s="27"/>
      <c r="GX184" s="27"/>
      <c r="GY184" s="27"/>
      <c r="GZ184" s="27"/>
      <c r="HA184" s="27"/>
      <c r="HB184" s="27"/>
      <c r="HC184" s="27"/>
      <c r="HD184" s="27"/>
      <c r="HE184" s="27"/>
      <c r="HF184" s="27"/>
      <c r="HG184" s="27"/>
      <c r="HH184" s="27"/>
      <c r="HI184" s="27"/>
      <c r="HJ184" s="27"/>
      <c r="HK184" s="27"/>
      <c r="HL184" s="27"/>
      <c r="HM184" s="27"/>
      <c r="HN184" s="27"/>
      <c r="HO184" s="27"/>
      <c r="HP184" s="27"/>
      <c r="HQ184" s="27"/>
      <c r="HR184" s="27"/>
      <c r="HS184" s="27"/>
      <c r="HT184" s="27"/>
      <c r="HU184" s="27"/>
      <c r="HV184" s="27"/>
      <c r="HW184" s="27"/>
      <c r="HX184" s="27"/>
      <c r="HY184" s="27"/>
      <c r="HZ184" s="27"/>
      <c r="IA184" s="27"/>
      <c r="IB184" s="27"/>
      <c r="IC184" s="27"/>
      <c r="ID184" s="27"/>
      <c r="IE184" s="27"/>
      <c r="IF184" s="27"/>
      <c r="IG184" s="27"/>
      <c r="IH184" s="27"/>
      <c r="II184" s="27"/>
      <c r="IJ184" s="27"/>
      <c r="IK184" s="27"/>
      <c r="IL184" s="27"/>
      <c r="IM184" s="27"/>
      <c r="IN184" s="27"/>
      <c r="IO184" s="27"/>
      <c r="IP184" s="27"/>
      <c r="IQ184" s="27"/>
      <c r="IR184" s="27"/>
    </row>
    <row r="185" spans="1:252" s="7" customFormat="1" ht="36" customHeight="1" x14ac:dyDescent="0.2">
      <c r="A185" s="21" t="s">
        <v>99</v>
      </c>
      <c r="B185" s="22" t="s">
        <v>100</v>
      </c>
      <c r="C185" s="29" t="s">
        <v>47</v>
      </c>
      <c r="D185" s="29" t="s">
        <v>195</v>
      </c>
      <c r="E185" s="28" t="s">
        <v>49</v>
      </c>
      <c r="F185" s="28" t="s">
        <v>196</v>
      </c>
      <c r="G185" s="29" t="s">
        <v>42</v>
      </c>
      <c r="H185" s="62" t="s">
        <v>56</v>
      </c>
      <c r="I185" s="65" t="s">
        <v>57</v>
      </c>
      <c r="J185" s="29" t="s">
        <v>51</v>
      </c>
      <c r="K185" s="51">
        <v>0</v>
      </c>
      <c r="L185" s="51">
        <v>1565838.97</v>
      </c>
      <c r="M185" s="51">
        <v>0</v>
      </c>
      <c r="N185" s="51">
        <v>0</v>
      </c>
      <c r="O185" s="51">
        <f t="shared" si="8"/>
        <v>1565838.97</v>
      </c>
      <c r="P185" s="51"/>
      <c r="Q185" s="51"/>
      <c r="R185" s="51"/>
      <c r="S185" s="51"/>
      <c r="T185" s="51"/>
      <c r="U185" s="51"/>
      <c r="V185" s="51">
        <v>867343.42</v>
      </c>
      <c r="W185" s="51">
        <v>867343.42</v>
      </c>
      <c r="X185" s="52">
        <v>866817.42</v>
      </c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  <c r="IB185" s="27"/>
      <c r="IC185" s="27"/>
      <c r="ID185" s="27"/>
      <c r="IE185" s="27"/>
      <c r="IF185" s="27"/>
      <c r="IG185" s="27"/>
      <c r="IH185" s="27"/>
      <c r="II185" s="27"/>
      <c r="IJ185" s="27"/>
      <c r="IK185" s="27"/>
      <c r="IL185" s="27"/>
      <c r="IM185" s="27"/>
      <c r="IN185" s="27"/>
      <c r="IO185" s="27"/>
      <c r="IP185" s="27"/>
      <c r="IQ185" s="27"/>
      <c r="IR185" s="27"/>
    </row>
    <row r="186" spans="1:252" s="7" customFormat="1" ht="36" customHeight="1" x14ac:dyDescent="0.2">
      <c r="A186" s="21" t="s">
        <v>99</v>
      </c>
      <c r="B186" s="22" t="s">
        <v>100</v>
      </c>
      <c r="C186" s="29" t="s">
        <v>47</v>
      </c>
      <c r="D186" s="29" t="s">
        <v>195</v>
      </c>
      <c r="E186" s="28" t="s">
        <v>49</v>
      </c>
      <c r="F186" s="28" t="s">
        <v>196</v>
      </c>
      <c r="G186" s="29" t="s">
        <v>42</v>
      </c>
      <c r="H186" s="62" t="s">
        <v>136</v>
      </c>
      <c r="I186" s="63" t="s">
        <v>137</v>
      </c>
      <c r="J186" s="29" t="s">
        <v>51</v>
      </c>
      <c r="K186" s="51">
        <v>0</v>
      </c>
      <c r="L186" s="51">
        <v>1155000</v>
      </c>
      <c r="M186" s="51">
        <v>0</v>
      </c>
      <c r="N186" s="51">
        <v>0</v>
      </c>
      <c r="O186" s="51">
        <f t="shared" si="8"/>
        <v>1155000</v>
      </c>
      <c r="P186" s="51"/>
      <c r="Q186" s="51"/>
      <c r="R186" s="51"/>
      <c r="S186" s="51"/>
      <c r="T186" s="51"/>
      <c r="U186" s="51"/>
      <c r="V186" s="51">
        <v>1044873.31</v>
      </c>
      <c r="W186" s="51">
        <v>1044873.31</v>
      </c>
      <c r="X186" s="52">
        <v>1044873.31</v>
      </c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  <c r="HE186" s="27"/>
      <c r="HF186" s="27"/>
      <c r="HG186" s="27"/>
      <c r="HH186" s="27"/>
      <c r="HI186" s="27"/>
      <c r="HJ186" s="27"/>
      <c r="HK186" s="27"/>
      <c r="HL186" s="27"/>
      <c r="HM186" s="27"/>
      <c r="HN186" s="27"/>
      <c r="HO186" s="27"/>
      <c r="HP186" s="27"/>
      <c r="HQ186" s="27"/>
      <c r="HR186" s="27"/>
      <c r="HS186" s="27"/>
      <c r="HT186" s="27"/>
      <c r="HU186" s="27"/>
      <c r="HV186" s="27"/>
      <c r="HW186" s="27"/>
      <c r="HX186" s="27"/>
      <c r="HY186" s="27"/>
      <c r="HZ186" s="27"/>
      <c r="IA186" s="27"/>
      <c r="IB186" s="27"/>
      <c r="IC186" s="27"/>
      <c r="ID186" s="27"/>
      <c r="IE186" s="27"/>
      <c r="IF186" s="27"/>
      <c r="IG186" s="27"/>
      <c r="IH186" s="27"/>
      <c r="II186" s="27"/>
      <c r="IJ186" s="27"/>
      <c r="IK186" s="27"/>
      <c r="IL186" s="27"/>
      <c r="IM186" s="27"/>
      <c r="IN186" s="27"/>
      <c r="IO186" s="27"/>
      <c r="IP186" s="27"/>
      <c r="IQ186" s="27"/>
      <c r="IR186" s="27"/>
    </row>
    <row r="187" spans="1:252" s="7" customFormat="1" ht="36" customHeight="1" x14ac:dyDescent="0.2">
      <c r="A187" s="21" t="s">
        <v>99</v>
      </c>
      <c r="B187" s="22" t="s">
        <v>100</v>
      </c>
      <c r="C187" s="29" t="s">
        <v>47</v>
      </c>
      <c r="D187" s="29" t="s">
        <v>195</v>
      </c>
      <c r="E187" s="28" t="s">
        <v>49</v>
      </c>
      <c r="F187" s="28" t="s">
        <v>196</v>
      </c>
      <c r="G187" s="29" t="s">
        <v>42</v>
      </c>
      <c r="H187" s="29" t="s">
        <v>179</v>
      </c>
      <c r="I187" s="28" t="s">
        <v>180</v>
      </c>
      <c r="J187" s="29" t="s">
        <v>51</v>
      </c>
      <c r="K187" s="51">
        <v>0</v>
      </c>
      <c r="L187" s="51">
        <v>4884</v>
      </c>
      <c r="M187" s="51">
        <v>0</v>
      </c>
      <c r="N187" s="51">
        <v>0</v>
      </c>
      <c r="O187" s="51">
        <f t="shared" si="8"/>
        <v>4884</v>
      </c>
      <c r="P187" s="51"/>
      <c r="Q187" s="51"/>
      <c r="R187" s="51"/>
      <c r="S187" s="51"/>
      <c r="T187" s="51"/>
      <c r="U187" s="51"/>
      <c r="V187" s="51">
        <v>0</v>
      </c>
      <c r="W187" s="51">
        <v>0</v>
      </c>
      <c r="X187" s="52">
        <v>0</v>
      </c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  <c r="GF187" s="27"/>
      <c r="GG187" s="27"/>
      <c r="GH187" s="27"/>
      <c r="GI187" s="27"/>
      <c r="GJ187" s="27"/>
      <c r="GK187" s="27"/>
      <c r="GL187" s="27"/>
      <c r="GM187" s="27"/>
      <c r="GN187" s="27"/>
      <c r="GO187" s="27"/>
      <c r="GP187" s="27"/>
      <c r="GQ187" s="27"/>
      <c r="GR187" s="27"/>
      <c r="GS187" s="27"/>
      <c r="GT187" s="27"/>
      <c r="GU187" s="27"/>
      <c r="GV187" s="27"/>
      <c r="GW187" s="27"/>
      <c r="GX187" s="27"/>
      <c r="GY187" s="27"/>
      <c r="GZ187" s="27"/>
      <c r="HA187" s="27"/>
      <c r="HB187" s="27"/>
      <c r="HC187" s="27"/>
      <c r="HD187" s="27"/>
      <c r="HE187" s="27"/>
      <c r="HF187" s="27"/>
      <c r="HG187" s="27"/>
      <c r="HH187" s="27"/>
      <c r="HI187" s="27"/>
      <c r="HJ187" s="27"/>
      <c r="HK187" s="27"/>
      <c r="HL187" s="27"/>
      <c r="HM187" s="27"/>
      <c r="HN187" s="27"/>
      <c r="HO187" s="27"/>
      <c r="HP187" s="27"/>
      <c r="HQ187" s="27"/>
      <c r="HR187" s="27"/>
      <c r="HS187" s="27"/>
      <c r="HT187" s="27"/>
      <c r="HU187" s="27"/>
      <c r="HV187" s="27"/>
      <c r="HW187" s="27"/>
      <c r="HX187" s="27"/>
      <c r="HY187" s="27"/>
      <c r="HZ187" s="27"/>
      <c r="IA187" s="27"/>
      <c r="IB187" s="27"/>
      <c r="IC187" s="27"/>
      <c r="ID187" s="27"/>
      <c r="IE187" s="27"/>
      <c r="IF187" s="27"/>
      <c r="IG187" s="27"/>
      <c r="IH187" s="27"/>
      <c r="II187" s="27"/>
      <c r="IJ187" s="27"/>
      <c r="IK187" s="27"/>
      <c r="IL187" s="27"/>
      <c r="IM187" s="27"/>
      <c r="IN187" s="27"/>
      <c r="IO187" s="27"/>
      <c r="IP187" s="27"/>
      <c r="IQ187" s="27"/>
      <c r="IR187" s="27"/>
    </row>
    <row r="188" spans="1:252" s="7" customFormat="1" ht="36" customHeight="1" x14ac:dyDescent="0.2">
      <c r="A188" s="21" t="s">
        <v>99</v>
      </c>
      <c r="B188" s="22" t="s">
        <v>100</v>
      </c>
      <c r="C188" s="23" t="s">
        <v>47</v>
      </c>
      <c r="D188" s="23" t="s">
        <v>197</v>
      </c>
      <c r="E188" s="33" t="s">
        <v>49</v>
      </c>
      <c r="F188" s="33" t="s">
        <v>198</v>
      </c>
      <c r="G188" s="29" t="s">
        <v>42</v>
      </c>
      <c r="H188" s="29" t="s">
        <v>43</v>
      </c>
      <c r="I188" s="29" t="s">
        <v>44</v>
      </c>
      <c r="J188" s="29" t="s">
        <v>128</v>
      </c>
      <c r="K188" s="51">
        <v>58739</v>
      </c>
      <c r="L188" s="51">
        <v>-58739</v>
      </c>
      <c r="M188" s="51">
        <v>0</v>
      </c>
      <c r="N188" s="51">
        <v>0</v>
      </c>
      <c r="O188" s="51">
        <f t="shared" si="8"/>
        <v>0</v>
      </c>
      <c r="P188" s="51">
        <v>0</v>
      </c>
      <c r="Q188" s="51">
        <v>0</v>
      </c>
      <c r="R188" s="51">
        <v>0</v>
      </c>
      <c r="S188" s="51"/>
      <c r="T188" s="51"/>
      <c r="U188" s="51"/>
      <c r="V188" s="51"/>
      <c r="W188" s="51"/>
      <c r="X188" s="52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7"/>
      <c r="GE188" s="27"/>
      <c r="GF188" s="27"/>
      <c r="GG188" s="27"/>
      <c r="GH188" s="27"/>
      <c r="GI188" s="27"/>
      <c r="GJ188" s="27"/>
      <c r="GK188" s="27"/>
      <c r="GL188" s="27"/>
      <c r="GM188" s="27"/>
      <c r="GN188" s="27"/>
      <c r="GO188" s="27"/>
      <c r="GP188" s="27"/>
      <c r="GQ188" s="27"/>
      <c r="GR188" s="27"/>
      <c r="GS188" s="27"/>
      <c r="GT188" s="27"/>
      <c r="GU188" s="27"/>
      <c r="GV188" s="27"/>
      <c r="GW188" s="27"/>
      <c r="GX188" s="27"/>
      <c r="GY188" s="27"/>
      <c r="GZ188" s="27"/>
      <c r="HA188" s="27"/>
      <c r="HB188" s="27"/>
      <c r="HC188" s="27"/>
      <c r="HD188" s="27"/>
      <c r="HE188" s="27"/>
      <c r="HF188" s="27"/>
      <c r="HG188" s="27"/>
      <c r="HH188" s="27"/>
      <c r="HI188" s="27"/>
      <c r="HJ188" s="27"/>
      <c r="HK188" s="27"/>
      <c r="HL188" s="27"/>
      <c r="HM188" s="27"/>
      <c r="HN188" s="27"/>
      <c r="HO188" s="27"/>
      <c r="HP188" s="27"/>
      <c r="HQ188" s="27"/>
      <c r="HR188" s="27"/>
      <c r="HS188" s="27"/>
      <c r="HT188" s="27"/>
      <c r="HU188" s="27"/>
      <c r="HV188" s="27"/>
      <c r="HW188" s="27"/>
      <c r="HX188" s="27"/>
      <c r="HY188" s="27"/>
      <c r="HZ188" s="27"/>
      <c r="IA188" s="27"/>
      <c r="IB188" s="27"/>
      <c r="IC188" s="27"/>
      <c r="ID188" s="27"/>
      <c r="IE188" s="27"/>
      <c r="IF188" s="27"/>
      <c r="IG188" s="27"/>
      <c r="IH188" s="27"/>
      <c r="II188" s="27"/>
      <c r="IJ188" s="27"/>
      <c r="IK188" s="27"/>
      <c r="IL188" s="27"/>
      <c r="IM188" s="27"/>
      <c r="IN188" s="27"/>
      <c r="IO188" s="27"/>
      <c r="IP188" s="27"/>
      <c r="IQ188" s="27"/>
      <c r="IR188" s="27"/>
    </row>
    <row r="189" spans="1:252" s="7" customFormat="1" ht="36" customHeight="1" x14ac:dyDescent="0.2">
      <c r="A189" s="21" t="s">
        <v>99</v>
      </c>
      <c r="B189" s="22" t="s">
        <v>100</v>
      </c>
      <c r="C189" s="23" t="s">
        <v>47</v>
      </c>
      <c r="D189" s="23" t="s">
        <v>197</v>
      </c>
      <c r="E189" s="33" t="s">
        <v>49</v>
      </c>
      <c r="F189" s="33" t="s">
        <v>198</v>
      </c>
      <c r="G189" s="29" t="s">
        <v>42</v>
      </c>
      <c r="H189" s="29" t="s">
        <v>103</v>
      </c>
      <c r="I189" s="28" t="s">
        <v>104</v>
      </c>
      <c r="J189" s="29" t="s">
        <v>51</v>
      </c>
      <c r="K189" s="51">
        <v>164867</v>
      </c>
      <c r="L189" s="51">
        <v>-91000</v>
      </c>
      <c r="M189" s="51">
        <v>0</v>
      </c>
      <c r="N189" s="51">
        <v>0</v>
      </c>
      <c r="O189" s="51">
        <f t="shared" si="8"/>
        <v>73867</v>
      </c>
      <c r="P189" s="51">
        <v>65162.23</v>
      </c>
      <c r="Q189" s="51">
        <v>65162.23</v>
      </c>
      <c r="R189" s="51">
        <v>65162.23</v>
      </c>
      <c r="S189" s="51"/>
      <c r="T189" s="51"/>
      <c r="U189" s="51"/>
      <c r="V189" s="51"/>
      <c r="W189" s="51"/>
      <c r="X189" s="52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  <c r="FJ189" s="27"/>
      <c r="FK189" s="27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27"/>
      <c r="GC189" s="27"/>
      <c r="GD189" s="27"/>
      <c r="GE189" s="27"/>
      <c r="GF189" s="27"/>
      <c r="GG189" s="27"/>
      <c r="GH189" s="27"/>
      <c r="GI189" s="27"/>
      <c r="GJ189" s="27"/>
      <c r="GK189" s="27"/>
      <c r="GL189" s="27"/>
      <c r="GM189" s="27"/>
      <c r="GN189" s="27"/>
      <c r="GO189" s="27"/>
      <c r="GP189" s="27"/>
      <c r="GQ189" s="27"/>
      <c r="GR189" s="27"/>
      <c r="GS189" s="27"/>
      <c r="GT189" s="27"/>
      <c r="GU189" s="27"/>
      <c r="GV189" s="27"/>
      <c r="GW189" s="27"/>
      <c r="GX189" s="27"/>
      <c r="GY189" s="27"/>
      <c r="GZ189" s="27"/>
      <c r="HA189" s="27"/>
      <c r="HB189" s="27"/>
      <c r="HC189" s="27"/>
      <c r="HD189" s="27"/>
      <c r="HE189" s="27"/>
      <c r="HF189" s="27"/>
      <c r="HG189" s="27"/>
      <c r="HH189" s="27"/>
      <c r="HI189" s="27"/>
      <c r="HJ189" s="27"/>
      <c r="HK189" s="27"/>
      <c r="HL189" s="27"/>
      <c r="HM189" s="27"/>
      <c r="HN189" s="27"/>
      <c r="HO189" s="27"/>
      <c r="HP189" s="27"/>
      <c r="HQ189" s="27"/>
      <c r="HR189" s="27"/>
      <c r="HS189" s="27"/>
      <c r="HT189" s="27"/>
      <c r="HU189" s="27"/>
      <c r="HV189" s="27"/>
      <c r="HW189" s="27"/>
      <c r="HX189" s="27"/>
      <c r="HY189" s="27"/>
      <c r="HZ189" s="27"/>
      <c r="IA189" s="27"/>
      <c r="IB189" s="27"/>
      <c r="IC189" s="27"/>
      <c r="ID189" s="27"/>
      <c r="IE189" s="27"/>
      <c r="IF189" s="27"/>
      <c r="IG189" s="27"/>
      <c r="IH189" s="27"/>
      <c r="II189" s="27"/>
      <c r="IJ189" s="27"/>
      <c r="IK189" s="27"/>
      <c r="IL189" s="27"/>
      <c r="IM189" s="27"/>
      <c r="IN189" s="27"/>
      <c r="IO189" s="27"/>
      <c r="IP189" s="27"/>
      <c r="IQ189" s="27"/>
      <c r="IR189" s="27"/>
    </row>
    <row r="190" spans="1:252" s="7" customFormat="1" ht="36" customHeight="1" x14ac:dyDescent="0.2">
      <c r="A190" s="21" t="s">
        <v>99</v>
      </c>
      <c r="B190" s="22" t="s">
        <v>100</v>
      </c>
      <c r="C190" s="23" t="s">
        <v>47</v>
      </c>
      <c r="D190" s="23" t="s">
        <v>197</v>
      </c>
      <c r="E190" s="33" t="s">
        <v>49</v>
      </c>
      <c r="F190" s="33" t="s">
        <v>198</v>
      </c>
      <c r="G190" s="29" t="s">
        <v>42</v>
      </c>
      <c r="H190" s="29" t="s">
        <v>54</v>
      </c>
      <c r="I190" s="28" t="s">
        <v>55</v>
      </c>
      <c r="J190" s="29" t="s">
        <v>51</v>
      </c>
      <c r="K190" s="61">
        <v>0</v>
      </c>
      <c r="L190" s="51">
        <v>39671</v>
      </c>
      <c r="M190" s="51">
        <v>0</v>
      </c>
      <c r="N190" s="51">
        <v>0</v>
      </c>
      <c r="O190" s="51">
        <f t="shared" si="8"/>
        <v>39671</v>
      </c>
      <c r="P190" s="51">
        <v>0</v>
      </c>
      <c r="Q190" s="51">
        <v>0</v>
      </c>
      <c r="R190" s="51">
        <v>0</v>
      </c>
      <c r="S190" s="51"/>
      <c r="T190" s="51"/>
      <c r="U190" s="51"/>
      <c r="V190" s="51"/>
      <c r="W190" s="51"/>
      <c r="X190" s="52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F190" s="27"/>
      <c r="GG190" s="27"/>
      <c r="GH190" s="27"/>
      <c r="GI190" s="27"/>
      <c r="GJ190" s="27"/>
      <c r="GK190" s="27"/>
      <c r="GL190" s="27"/>
      <c r="GM190" s="27"/>
      <c r="GN190" s="27"/>
      <c r="GO190" s="27"/>
      <c r="GP190" s="27"/>
      <c r="GQ190" s="27"/>
      <c r="GR190" s="27"/>
      <c r="GS190" s="27"/>
      <c r="GT190" s="27"/>
      <c r="GU190" s="27"/>
      <c r="GV190" s="27"/>
      <c r="GW190" s="27"/>
      <c r="GX190" s="27"/>
      <c r="GY190" s="27"/>
      <c r="GZ190" s="27"/>
      <c r="HA190" s="27"/>
      <c r="HB190" s="27"/>
      <c r="HC190" s="27"/>
      <c r="HD190" s="27"/>
      <c r="HE190" s="27"/>
      <c r="HF190" s="27"/>
      <c r="HG190" s="27"/>
      <c r="HH190" s="27"/>
      <c r="HI190" s="27"/>
      <c r="HJ190" s="27"/>
      <c r="HK190" s="27"/>
      <c r="HL190" s="27"/>
      <c r="HM190" s="27"/>
      <c r="HN190" s="27"/>
      <c r="HO190" s="27"/>
      <c r="HP190" s="27"/>
      <c r="HQ190" s="27"/>
      <c r="HR190" s="27"/>
      <c r="HS190" s="27"/>
      <c r="HT190" s="27"/>
      <c r="HU190" s="27"/>
      <c r="HV190" s="27"/>
      <c r="HW190" s="27"/>
      <c r="HX190" s="27"/>
      <c r="HY190" s="27"/>
      <c r="HZ190" s="27"/>
      <c r="IA190" s="27"/>
      <c r="IB190" s="27"/>
      <c r="IC190" s="27"/>
      <c r="ID190" s="27"/>
      <c r="IE190" s="27"/>
      <c r="IF190" s="27"/>
      <c r="IG190" s="27"/>
      <c r="IH190" s="27"/>
      <c r="II190" s="27"/>
      <c r="IJ190" s="27"/>
      <c r="IK190" s="27"/>
      <c r="IL190" s="27"/>
      <c r="IM190" s="27"/>
      <c r="IN190" s="27"/>
      <c r="IO190" s="27"/>
      <c r="IP190" s="27"/>
      <c r="IQ190" s="27"/>
      <c r="IR190" s="27"/>
    </row>
    <row r="191" spans="1:252" s="7" customFormat="1" ht="36" customHeight="1" x14ac:dyDescent="0.2">
      <c r="A191" s="21" t="s">
        <v>99</v>
      </c>
      <c r="B191" s="22" t="s">
        <v>100</v>
      </c>
      <c r="C191" s="29" t="s">
        <v>199</v>
      </c>
      <c r="D191" s="29" t="s">
        <v>200</v>
      </c>
      <c r="E191" s="28" t="s">
        <v>158</v>
      </c>
      <c r="F191" s="28" t="s">
        <v>201</v>
      </c>
      <c r="G191" s="29" t="s">
        <v>42</v>
      </c>
      <c r="H191" s="29" t="s">
        <v>103</v>
      </c>
      <c r="I191" s="28" t="s">
        <v>104</v>
      </c>
      <c r="J191" s="29" t="s">
        <v>51</v>
      </c>
      <c r="K191" s="61">
        <v>180922</v>
      </c>
      <c r="L191" s="51">
        <v>165000</v>
      </c>
      <c r="M191" s="51">
        <v>0</v>
      </c>
      <c r="N191" s="51">
        <v>0</v>
      </c>
      <c r="O191" s="51">
        <f t="shared" si="8"/>
        <v>345922</v>
      </c>
      <c r="P191" s="51"/>
      <c r="Q191" s="51"/>
      <c r="R191" s="51"/>
      <c r="S191" s="51"/>
      <c r="T191" s="51"/>
      <c r="U191" s="51"/>
      <c r="V191" s="51">
        <v>161369.98000000001</v>
      </c>
      <c r="W191" s="51">
        <v>161369.98000000001</v>
      </c>
      <c r="X191" s="52">
        <v>156761.39000000001</v>
      </c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  <c r="FJ191" s="27"/>
      <c r="FK191" s="27"/>
      <c r="FL191" s="27"/>
      <c r="FM191" s="27"/>
      <c r="FN191" s="27"/>
      <c r="FO191" s="27"/>
      <c r="FP191" s="27"/>
      <c r="FQ191" s="27"/>
      <c r="FR191" s="27"/>
      <c r="FS191" s="27"/>
      <c r="FT191" s="27"/>
      <c r="FU191" s="27"/>
      <c r="FV191" s="27"/>
      <c r="FW191" s="27"/>
      <c r="FX191" s="27"/>
      <c r="FY191" s="27"/>
      <c r="FZ191" s="27"/>
      <c r="GA191" s="27"/>
      <c r="GB191" s="27"/>
      <c r="GC191" s="27"/>
      <c r="GD191" s="27"/>
      <c r="GE191" s="27"/>
      <c r="GF191" s="27"/>
      <c r="GG191" s="27"/>
      <c r="GH191" s="27"/>
      <c r="GI191" s="27"/>
      <c r="GJ191" s="27"/>
      <c r="GK191" s="27"/>
      <c r="GL191" s="27"/>
      <c r="GM191" s="27"/>
      <c r="GN191" s="27"/>
      <c r="GO191" s="27"/>
      <c r="GP191" s="27"/>
      <c r="GQ191" s="27"/>
      <c r="GR191" s="27"/>
      <c r="GS191" s="27"/>
      <c r="GT191" s="27"/>
      <c r="GU191" s="27"/>
      <c r="GV191" s="27"/>
      <c r="GW191" s="27"/>
      <c r="GX191" s="27"/>
      <c r="GY191" s="27"/>
      <c r="GZ191" s="27"/>
      <c r="HA191" s="27"/>
      <c r="HB191" s="27"/>
      <c r="HC191" s="27"/>
      <c r="HD191" s="27"/>
      <c r="HE191" s="27"/>
      <c r="HF191" s="27"/>
      <c r="HG191" s="27"/>
      <c r="HH191" s="27"/>
      <c r="HI191" s="27"/>
      <c r="HJ191" s="27"/>
      <c r="HK191" s="27"/>
      <c r="HL191" s="27"/>
      <c r="HM191" s="27"/>
      <c r="HN191" s="27"/>
      <c r="HO191" s="27"/>
      <c r="HP191" s="27"/>
      <c r="HQ191" s="27"/>
      <c r="HR191" s="27"/>
      <c r="HS191" s="27"/>
      <c r="HT191" s="27"/>
      <c r="HU191" s="27"/>
      <c r="HV191" s="27"/>
      <c r="HW191" s="27"/>
      <c r="HX191" s="27"/>
      <c r="HY191" s="27"/>
      <c r="HZ191" s="27"/>
      <c r="IA191" s="27"/>
      <c r="IB191" s="27"/>
      <c r="IC191" s="27"/>
      <c r="ID191" s="27"/>
      <c r="IE191" s="27"/>
      <c r="IF191" s="27"/>
      <c r="IG191" s="27"/>
      <c r="IH191" s="27"/>
      <c r="II191" s="27"/>
      <c r="IJ191" s="27"/>
      <c r="IK191" s="27"/>
      <c r="IL191" s="27"/>
      <c r="IM191" s="27"/>
      <c r="IN191" s="27"/>
      <c r="IO191" s="27"/>
      <c r="IP191" s="27"/>
      <c r="IQ191" s="27"/>
      <c r="IR191" s="27"/>
    </row>
    <row r="192" spans="1:252" s="7" customFormat="1" ht="36" customHeight="1" x14ac:dyDescent="0.2">
      <c r="A192" s="21" t="s">
        <v>99</v>
      </c>
      <c r="B192" s="22" t="s">
        <v>100</v>
      </c>
      <c r="C192" s="29" t="s">
        <v>199</v>
      </c>
      <c r="D192" s="29" t="s">
        <v>202</v>
      </c>
      <c r="E192" s="28" t="s">
        <v>158</v>
      </c>
      <c r="F192" s="28" t="s">
        <v>203</v>
      </c>
      <c r="G192" s="29" t="s">
        <v>42</v>
      </c>
      <c r="H192" s="29" t="s">
        <v>43</v>
      </c>
      <c r="I192" s="28" t="s">
        <v>44</v>
      </c>
      <c r="J192" s="29" t="s">
        <v>128</v>
      </c>
      <c r="K192" s="61">
        <v>150000</v>
      </c>
      <c r="L192" s="51">
        <v>-150000</v>
      </c>
      <c r="M192" s="51">
        <v>0</v>
      </c>
      <c r="N192" s="51">
        <v>0</v>
      </c>
      <c r="O192" s="51">
        <f>K192+L192+M192+N192</f>
        <v>0</v>
      </c>
      <c r="P192" s="51"/>
      <c r="Q192" s="51"/>
      <c r="R192" s="51"/>
      <c r="S192" s="51"/>
      <c r="T192" s="51"/>
      <c r="U192" s="51"/>
      <c r="V192" s="51">
        <v>0</v>
      </c>
      <c r="W192" s="51">
        <v>0</v>
      </c>
      <c r="X192" s="52">
        <v>0</v>
      </c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7"/>
      <c r="GE192" s="27"/>
      <c r="GF192" s="27"/>
      <c r="GG192" s="27"/>
      <c r="GH192" s="27"/>
      <c r="GI192" s="27"/>
      <c r="GJ192" s="27"/>
      <c r="GK192" s="27"/>
      <c r="GL192" s="27"/>
      <c r="GM192" s="27"/>
      <c r="GN192" s="27"/>
      <c r="GO192" s="27"/>
      <c r="GP192" s="27"/>
      <c r="GQ192" s="27"/>
      <c r="GR192" s="27"/>
      <c r="GS192" s="27"/>
      <c r="GT192" s="27"/>
      <c r="GU192" s="27"/>
      <c r="GV192" s="27"/>
      <c r="GW192" s="27"/>
      <c r="GX192" s="27"/>
      <c r="GY192" s="27"/>
      <c r="GZ192" s="27"/>
      <c r="HA192" s="27"/>
      <c r="HB192" s="27"/>
      <c r="HC192" s="27"/>
      <c r="HD192" s="27"/>
      <c r="HE192" s="27"/>
      <c r="HF192" s="27"/>
      <c r="HG192" s="27"/>
      <c r="HH192" s="27"/>
      <c r="HI192" s="27"/>
      <c r="HJ192" s="27"/>
      <c r="HK192" s="27"/>
      <c r="HL192" s="27"/>
      <c r="HM192" s="27"/>
      <c r="HN192" s="27"/>
      <c r="HO192" s="27"/>
      <c r="HP192" s="27"/>
      <c r="HQ192" s="27"/>
      <c r="HR192" s="27"/>
      <c r="HS192" s="27"/>
      <c r="HT192" s="27"/>
      <c r="HU192" s="27"/>
      <c r="HV192" s="27"/>
      <c r="HW192" s="27"/>
      <c r="HX192" s="27"/>
      <c r="HY192" s="27"/>
      <c r="HZ192" s="27"/>
      <c r="IA192" s="27"/>
      <c r="IB192" s="27"/>
      <c r="IC192" s="27"/>
      <c r="ID192" s="27"/>
      <c r="IE192" s="27"/>
      <c r="IF192" s="27"/>
      <c r="IG192" s="27"/>
      <c r="IH192" s="27"/>
      <c r="II192" s="27"/>
      <c r="IJ192" s="27"/>
      <c r="IK192" s="27"/>
      <c r="IL192" s="27"/>
      <c r="IM192" s="27"/>
      <c r="IN192" s="27"/>
      <c r="IO192" s="27"/>
      <c r="IP192" s="27"/>
      <c r="IQ192" s="27"/>
      <c r="IR192" s="27"/>
    </row>
    <row r="193" spans="1:252" s="7" customFormat="1" ht="36" customHeight="1" x14ac:dyDescent="0.2">
      <c r="A193" s="21" t="s">
        <v>99</v>
      </c>
      <c r="B193" s="22" t="s">
        <v>100</v>
      </c>
      <c r="C193" s="29" t="s">
        <v>199</v>
      </c>
      <c r="D193" s="29" t="s">
        <v>202</v>
      </c>
      <c r="E193" s="28" t="s">
        <v>158</v>
      </c>
      <c r="F193" s="28" t="s">
        <v>203</v>
      </c>
      <c r="G193" s="29" t="s">
        <v>42</v>
      </c>
      <c r="H193" s="29" t="s">
        <v>103</v>
      </c>
      <c r="I193" s="28" t="s">
        <v>104</v>
      </c>
      <c r="J193" s="29" t="s">
        <v>51</v>
      </c>
      <c r="K193" s="61">
        <v>3672815</v>
      </c>
      <c r="L193" s="51">
        <v>1300000</v>
      </c>
      <c r="M193" s="51">
        <v>0</v>
      </c>
      <c r="N193" s="51">
        <v>0</v>
      </c>
      <c r="O193" s="51">
        <f t="shared" si="8"/>
        <v>4972815</v>
      </c>
      <c r="P193" s="51"/>
      <c r="Q193" s="51"/>
      <c r="R193" s="51"/>
      <c r="S193" s="51"/>
      <c r="T193" s="51"/>
      <c r="U193" s="51"/>
      <c r="V193" s="51">
        <v>3873569.82</v>
      </c>
      <c r="W193" s="51">
        <v>3873569.82</v>
      </c>
      <c r="X193" s="52">
        <v>3870038.41</v>
      </c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  <c r="FJ193" s="27"/>
      <c r="FK193" s="27"/>
      <c r="FL193" s="27"/>
      <c r="FM193" s="27"/>
      <c r="FN193" s="27"/>
      <c r="FO193" s="27"/>
      <c r="FP193" s="27"/>
      <c r="FQ193" s="27"/>
      <c r="FR193" s="27"/>
      <c r="FS193" s="27"/>
      <c r="FT193" s="27"/>
      <c r="FU193" s="27"/>
      <c r="FV193" s="27"/>
      <c r="FW193" s="27"/>
      <c r="FX193" s="27"/>
      <c r="FY193" s="27"/>
      <c r="FZ193" s="27"/>
      <c r="GA193" s="27"/>
      <c r="GB193" s="27"/>
      <c r="GC193" s="27"/>
      <c r="GD193" s="27"/>
      <c r="GE193" s="27"/>
      <c r="GF193" s="27"/>
      <c r="GG193" s="27"/>
      <c r="GH193" s="27"/>
      <c r="GI193" s="27"/>
      <c r="GJ193" s="27"/>
      <c r="GK193" s="27"/>
      <c r="GL193" s="27"/>
      <c r="GM193" s="27"/>
      <c r="GN193" s="27"/>
      <c r="GO193" s="27"/>
      <c r="GP193" s="27"/>
      <c r="GQ193" s="27"/>
      <c r="GR193" s="27"/>
      <c r="GS193" s="27"/>
      <c r="GT193" s="27"/>
      <c r="GU193" s="27"/>
      <c r="GV193" s="27"/>
      <c r="GW193" s="27"/>
      <c r="GX193" s="27"/>
      <c r="GY193" s="27"/>
      <c r="GZ193" s="27"/>
      <c r="HA193" s="27"/>
      <c r="HB193" s="27"/>
      <c r="HC193" s="27"/>
      <c r="HD193" s="27"/>
      <c r="HE193" s="27"/>
      <c r="HF193" s="27"/>
      <c r="HG193" s="27"/>
      <c r="HH193" s="27"/>
      <c r="HI193" s="27"/>
      <c r="HJ193" s="27"/>
      <c r="HK193" s="27"/>
      <c r="HL193" s="27"/>
      <c r="HM193" s="27"/>
      <c r="HN193" s="27"/>
      <c r="HO193" s="27"/>
      <c r="HP193" s="27"/>
      <c r="HQ193" s="27"/>
      <c r="HR193" s="27"/>
      <c r="HS193" s="27"/>
      <c r="HT193" s="27"/>
      <c r="HU193" s="27"/>
      <c r="HV193" s="27"/>
      <c r="HW193" s="27"/>
      <c r="HX193" s="27"/>
      <c r="HY193" s="27"/>
      <c r="HZ193" s="27"/>
      <c r="IA193" s="27"/>
      <c r="IB193" s="27"/>
      <c r="IC193" s="27"/>
      <c r="ID193" s="27"/>
      <c r="IE193" s="27"/>
      <c r="IF193" s="27"/>
      <c r="IG193" s="27"/>
      <c r="IH193" s="27"/>
      <c r="II193" s="27"/>
      <c r="IJ193" s="27"/>
      <c r="IK193" s="27"/>
      <c r="IL193" s="27"/>
      <c r="IM193" s="27"/>
      <c r="IN193" s="27"/>
      <c r="IO193" s="27"/>
      <c r="IP193" s="27"/>
      <c r="IQ193" s="27"/>
      <c r="IR193" s="27"/>
    </row>
    <row r="194" spans="1:252" s="7" customFormat="1" ht="36" customHeight="1" x14ac:dyDescent="0.2">
      <c r="A194" s="21" t="s">
        <v>99</v>
      </c>
      <c r="B194" s="22" t="s">
        <v>100</v>
      </c>
      <c r="C194" s="29" t="s">
        <v>199</v>
      </c>
      <c r="D194" s="29" t="s">
        <v>204</v>
      </c>
      <c r="E194" s="28" t="s">
        <v>158</v>
      </c>
      <c r="F194" s="28" t="s">
        <v>205</v>
      </c>
      <c r="G194" s="29" t="s">
        <v>42</v>
      </c>
      <c r="H194" s="29" t="s">
        <v>43</v>
      </c>
      <c r="I194" s="28" t="s">
        <v>44</v>
      </c>
      <c r="J194" s="29" t="s">
        <v>51</v>
      </c>
      <c r="K194" s="61">
        <v>1000000</v>
      </c>
      <c r="L194" s="51">
        <f>378357-998826.52</f>
        <v>-620469.52</v>
      </c>
      <c r="M194" s="51">
        <v>0</v>
      </c>
      <c r="N194" s="51">
        <v>0</v>
      </c>
      <c r="O194" s="51">
        <f t="shared" si="8"/>
        <v>379530.48</v>
      </c>
      <c r="P194" s="51">
        <v>378215.82</v>
      </c>
      <c r="Q194" s="51">
        <v>378215.82</v>
      </c>
      <c r="R194" s="51">
        <v>329197.06</v>
      </c>
      <c r="S194" s="51"/>
      <c r="T194" s="51"/>
      <c r="U194" s="51"/>
      <c r="V194" s="51"/>
      <c r="W194" s="51"/>
      <c r="X194" s="52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  <c r="GE194" s="27"/>
      <c r="GF194" s="27"/>
      <c r="GG194" s="27"/>
      <c r="GH194" s="27"/>
      <c r="GI194" s="27"/>
      <c r="GJ194" s="27"/>
      <c r="GK194" s="27"/>
      <c r="GL194" s="27"/>
      <c r="GM194" s="27"/>
      <c r="GN194" s="27"/>
      <c r="GO194" s="27"/>
      <c r="GP194" s="27"/>
      <c r="GQ194" s="27"/>
      <c r="GR194" s="27"/>
      <c r="GS194" s="27"/>
      <c r="GT194" s="27"/>
      <c r="GU194" s="27"/>
      <c r="GV194" s="27"/>
      <c r="GW194" s="27"/>
      <c r="GX194" s="27"/>
      <c r="GY194" s="27"/>
      <c r="GZ194" s="27"/>
      <c r="HA194" s="27"/>
      <c r="HB194" s="27"/>
      <c r="HC194" s="27"/>
      <c r="HD194" s="27"/>
      <c r="HE194" s="27"/>
      <c r="HF194" s="27"/>
      <c r="HG194" s="27"/>
      <c r="HH194" s="27"/>
      <c r="HI194" s="27"/>
      <c r="HJ194" s="27"/>
      <c r="HK194" s="27"/>
      <c r="HL194" s="27"/>
      <c r="HM194" s="27"/>
      <c r="HN194" s="27"/>
      <c r="HO194" s="27"/>
      <c r="HP194" s="27"/>
      <c r="HQ194" s="27"/>
      <c r="HR194" s="27"/>
      <c r="HS194" s="27"/>
      <c r="HT194" s="27"/>
      <c r="HU194" s="27"/>
      <c r="HV194" s="27"/>
      <c r="HW194" s="27"/>
      <c r="HX194" s="27"/>
      <c r="HY194" s="27"/>
      <c r="HZ194" s="27"/>
      <c r="IA194" s="27"/>
      <c r="IB194" s="27"/>
      <c r="IC194" s="27"/>
      <c r="ID194" s="27"/>
      <c r="IE194" s="27"/>
      <c r="IF194" s="27"/>
      <c r="IG194" s="27"/>
      <c r="IH194" s="27"/>
      <c r="II194" s="27"/>
      <c r="IJ194" s="27"/>
      <c r="IK194" s="27"/>
      <c r="IL194" s="27"/>
      <c r="IM194" s="27"/>
      <c r="IN194" s="27"/>
      <c r="IO194" s="27"/>
      <c r="IP194" s="27"/>
      <c r="IQ194" s="27"/>
      <c r="IR194" s="27"/>
    </row>
    <row r="195" spans="1:252" s="7" customFormat="1" ht="36" customHeight="1" x14ac:dyDescent="0.2">
      <c r="A195" s="21" t="s">
        <v>99</v>
      </c>
      <c r="B195" s="22" t="s">
        <v>100</v>
      </c>
      <c r="C195" s="29" t="s">
        <v>199</v>
      </c>
      <c r="D195" s="29" t="s">
        <v>204</v>
      </c>
      <c r="E195" s="28" t="s">
        <v>158</v>
      </c>
      <c r="F195" s="28" t="s">
        <v>205</v>
      </c>
      <c r="G195" s="29" t="s">
        <v>42</v>
      </c>
      <c r="H195" s="29" t="s">
        <v>43</v>
      </c>
      <c r="I195" s="28" t="s">
        <v>44</v>
      </c>
      <c r="J195" s="29" t="s">
        <v>128</v>
      </c>
      <c r="K195" s="61">
        <v>500000</v>
      </c>
      <c r="L195" s="51">
        <f>80000-299192</f>
        <v>-219192</v>
      </c>
      <c r="M195" s="51">
        <v>0</v>
      </c>
      <c r="N195" s="51">
        <v>0</v>
      </c>
      <c r="O195" s="51">
        <f>K195+L195+M195+N195</f>
        <v>280808</v>
      </c>
      <c r="P195" s="51">
        <v>280808</v>
      </c>
      <c r="Q195" s="51">
        <v>280808</v>
      </c>
      <c r="R195" s="51">
        <v>200808</v>
      </c>
      <c r="S195" s="51"/>
      <c r="T195" s="51"/>
      <c r="U195" s="51"/>
      <c r="V195" s="51"/>
      <c r="W195" s="51"/>
      <c r="X195" s="52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7"/>
      <c r="GE195" s="27"/>
      <c r="GF195" s="27"/>
      <c r="GG195" s="27"/>
      <c r="GH195" s="27"/>
      <c r="GI195" s="27"/>
      <c r="GJ195" s="27"/>
      <c r="GK195" s="27"/>
      <c r="GL195" s="27"/>
      <c r="GM195" s="27"/>
      <c r="GN195" s="27"/>
      <c r="GO195" s="27"/>
      <c r="GP195" s="27"/>
      <c r="GQ195" s="27"/>
      <c r="GR195" s="27"/>
      <c r="GS195" s="27"/>
      <c r="GT195" s="27"/>
      <c r="GU195" s="27"/>
      <c r="GV195" s="27"/>
      <c r="GW195" s="27"/>
      <c r="GX195" s="27"/>
      <c r="GY195" s="27"/>
      <c r="GZ195" s="27"/>
      <c r="HA195" s="27"/>
      <c r="HB195" s="27"/>
      <c r="HC195" s="27"/>
      <c r="HD195" s="27"/>
      <c r="HE195" s="27"/>
      <c r="HF195" s="27"/>
      <c r="HG195" s="27"/>
      <c r="HH195" s="27"/>
      <c r="HI195" s="27"/>
      <c r="HJ195" s="27"/>
      <c r="HK195" s="27"/>
      <c r="HL195" s="27"/>
      <c r="HM195" s="27"/>
      <c r="HN195" s="27"/>
      <c r="HO195" s="27"/>
      <c r="HP195" s="27"/>
      <c r="HQ195" s="27"/>
      <c r="HR195" s="27"/>
      <c r="HS195" s="27"/>
      <c r="HT195" s="27"/>
      <c r="HU195" s="27"/>
      <c r="HV195" s="27"/>
      <c r="HW195" s="27"/>
      <c r="HX195" s="27"/>
      <c r="HY195" s="27"/>
      <c r="HZ195" s="27"/>
      <c r="IA195" s="27"/>
      <c r="IB195" s="27"/>
      <c r="IC195" s="27"/>
      <c r="ID195" s="27"/>
      <c r="IE195" s="27"/>
      <c r="IF195" s="27"/>
      <c r="IG195" s="27"/>
      <c r="IH195" s="27"/>
      <c r="II195" s="27"/>
      <c r="IJ195" s="27"/>
      <c r="IK195" s="27"/>
      <c r="IL195" s="27"/>
      <c r="IM195" s="27"/>
      <c r="IN195" s="27"/>
      <c r="IO195" s="27"/>
      <c r="IP195" s="27"/>
      <c r="IQ195" s="27"/>
      <c r="IR195" s="27"/>
    </row>
    <row r="196" spans="1:252" s="7" customFormat="1" ht="36" customHeight="1" x14ac:dyDescent="0.2">
      <c r="A196" s="21" t="s">
        <v>99</v>
      </c>
      <c r="B196" s="22" t="s">
        <v>100</v>
      </c>
      <c r="C196" s="29" t="s">
        <v>199</v>
      </c>
      <c r="D196" s="29" t="s">
        <v>204</v>
      </c>
      <c r="E196" s="28" t="s">
        <v>158</v>
      </c>
      <c r="F196" s="28" t="s">
        <v>205</v>
      </c>
      <c r="G196" s="29" t="s">
        <v>42</v>
      </c>
      <c r="H196" s="29" t="s">
        <v>134</v>
      </c>
      <c r="I196" s="28" t="s">
        <v>135</v>
      </c>
      <c r="J196" s="29" t="s">
        <v>51</v>
      </c>
      <c r="K196" s="61">
        <v>0</v>
      </c>
      <c r="L196" s="51">
        <v>89750</v>
      </c>
      <c r="M196" s="51">
        <v>0</v>
      </c>
      <c r="N196" s="51">
        <v>0</v>
      </c>
      <c r="O196" s="51">
        <f>K196+L196+M196+N196</f>
        <v>89750</v>
      </c>
      <c r="P196" s="51">
        <v>89750</v>
      </c>
      <c r="Q196" s="51">
        <v>89750</v>
      </c>
      <c r="R196" s="51">
        <v>0</v>
      </c>
      <c r="S196" s="51"/>
      <c r="T196" s="51"/>
      <c r="U196" s="51"/>
      <c r="V196" s="51"/>
      <c r="W196" s="51"/>
      <c r="X196" s="52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  <c r="GF196" s="27"/>
      <c r="GG196" s="27"/>
      <c r="GH196" s="27"/>
      <c r="GI196" s="27"/>
      <c r="GJ196" s="27"/>
      <c r="GK196" s="27"/>
      <c r="GL196" s="27"/>
      <c r="GM196" s="27"/>
      <c r="GN196" s="27"/>
      <c r="GO196" s="27"/>
      <c r="GP196" s="27"/>
      <c r="GQ196" s="27"/>
      <c r="GR196" s="27"/>
      <c r="GS196" s="27"/>
      <c r="GT196" s="27"/>
      <c r="GU196" s="27"/>
      <c r="GV196" s="27"/>
      <c r="GW196" s="27"/>
      <c r="GX196" s="27"/>
      <c r="GY196" s="27"/>
      <c r="GZ196" s="27"/>
      <c r="HA196" s="27"/>
      <c r="HB196" s="27"/>
      <c r="HC196" s="27"/>
      <c r="HD196" s="27"/>
      <c r="HE196" s="27"/>
      <c r="HF196" s="27"/>
      <c r="HG196" s="27"/>
      <c r="HH196" s="27"/>
      <c r="HI196" s="27"/>
      <c r="HJ196" s="27"/>
      <c r="HK196" s="27"/>
      <c r="HL196" s="27"/>
      <c r="HM196" s="27"/>
      <c r="HN196" s="27"/>
      <c r="HO196" s="27"/>
      <c r="HP196" s="27"/>
      <c r="HQ196" s="27"/>
      <c r="HR196" s="27"/>
      <c r="HS196" s="27"/>
      <c r="HT196" s="27"/>
      <c r="HU196" s="27"/>
      <c r="HV196" s="27"/>
      <c r="HW196" s="27"/>
      <c r="HX196" s="27"/>
      <c r="HY196" s="27"/>
      <c r="HZ196" s="27"/>
      <c r="IA196" s="27"/>
      <c r="IB196" s="27"/>
      <c r="IC196" s="27"/>
      <c r="ID196" s="27"/>
      <c r="IE196" s="27"/>
      <c r="IF196" s="27"/>
      <c r="IG196" s="27"/>
      <c r="IH196" s="27"/>
      <c r="II196" s="27"/>
      <c r="IJ196" s="27"/>
      <c r="IK196" s="27"/>
      <c r="IL196" s="27"/>
      <c r="IM196" s="27"/>
      <c r="IN196" s="27"/>
      <c r="IO196" s="27"/>
      <c r="IP196" s="27"/>
      <c r="IQ196" s="27"/>
      <c r="IR196" s="27"/>
    </row>
    <row r="197" spans="1:252" s="7" customFormat="1" ht="36" customHeight="1" x14ac:dyDescent="0.2">
      <c r="A197" s="21" t="s">
        <v>99</v>
      </c>
      <c r="B197" s="22" t="s">
        <v>100</v>
      </c>
      <c r="C197" s="29" t="s">
        <v>199</v>
      </c>
      <c r="D197" s="29" t="s">
        <v>204</v>
      </c>
      <c r="E197" s="28" t="s">
        <v>158</v>
      </c>
      <c r="F197" s="28" t="s">
        <v>205</v>
      </c>
      <c r="G197" s="29" t="s">
        <v>42</v>
      </c>
      <c r="H197" s="29" t="s">
        <v>134</v>
      </c>
      <c r="I197" s="28" t="s">
        <v>135</v>
      </c>
      <c r="J197" s="29" t="s">
        <v>128</v>
      </c>
      <c r="K197" s="61">
        <v>0</v>
      </c>
      <c r="L197" s="51">
        <v>4218025.29</v>
      </c>
      <c r="M197" s="51">
        <v>0</v>
      </c>
      <c r="N197" s="51">
        <v>0</v>
      </c>
      <c r="O197" s="51">
        <f>K197+L197+M197+N197</f>
        <v>4218025.29</v>
      </c>
      <c r="P197" s="51">
        <v>4214976</v>
      </c>
      <c r="Q197" s="51">
        <v>4214976</v>
      </c>
      <c r="R197" s="51">
        <v>0</v>
      </c>
      <c r="S197" s="51"/>
      <c r="T197" s="51"/>
      <c r="U197" s="51"/>
      <c r="V197" s="51"/>
      <c r="W197" s="51"/>
      <c r="X197" s="52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27"/>
      <c r="GK197" s="27"/>
      <c r="GL197" s="27"/>
      <c r="GM197" s="27"/>
      <c r="GN197" s="27"/>
      <c r="GO197" s="27"/>
      <c r="GP197" s="27"/>
      <c r="GQ197" s="27"/>
      <c r="GR197" s="27"/>
      <c r="GS197" s="27"/>
      <c r="GT197" s="27"/>
      <c r="GU197" s="27"/>
      <c r="GV197" s="27"/>
      <c r="GW197" s="27"/>
      <c r="GX197" s="27"/>
      <c r="GY197" s="27"/>
      <c r="GZ197" s="27"/>
      <c r="HA197" s="27"/>
      <c r="HB197" s="27"/>
      <c r="HC197" s="27"/>
      <c r="HD197" s="27"/>
      <c r="HE197" s="27"/>
      <c r="HF197" s="27"/>
      <c r="HG197" s="27"/>
      <c r="HH197" s="27"/>
      <c r="HI197" s="27"/>
      <c r="HJ197" s="27"/>
      <c r="HK197" s="27"/>
      <c r="HL197" s="27"/>
      <c r="HM197" s="27"/>
      <c r="HN197" s="27"/>
      <c r="HO197" s="27"/>
      <c r="HP197" s="27"/>
      <c r="HQ197" s="27"/>
      <c r="HR197" s="27"/>
      <c r="HS197" s="27"/>
      <c r="HT197" s="27"/>
      <c r="HU197" s="27"/>
      <c r="HV197" s="27"/>
      <c r="HW197" s="27"/>
      <c r="HX197" s="27"/>
      <c r="HY197" s="27"/>
      <c r="HZ197" s="27"/>
      <c r="IA197" s="27"/>
      <c r="IB197" s="27"/>
      <c r="IC197" s="27"/>
      <c r="ID197" s="27"/>
      <c r="IE197" s="27"/>
      <c r="IF197" s="27"/>
      <c r="IG197" s="27"/>
      <c r="IH197" s="27"/>
      <c r="II197" s="27"/>
      <c r="IJ197" s="27"/>
      <c r="IK197" s="27"/>
      <c r="IL197" s="27"/>
      <c r="IM197" s="27"/>
      <c r="IN197" s="27"/>
      <c r="IO197" s="27"/>
      <c r="IP197" s="27"/>
      <c r="IQ197" s="27"/>
      <c r="IR197" s="27"/>
    </row>
    <row r="198" spans="1:252" s="7" customFormat="1" ht="36" customHeight="1" x14ac:dyDescent="0.2">
      <c r="A198" s="21" t="s">
        <v>99</v>
      </c>
      <c r="B198" s="22" t="s">
        <v>100</v>
      </c>
      <c r="C198" s="29" t="s">
        <v>199</v>
      </c>
      <c r="D198" s="29" t="s">
        <v>204</v>
      </c>
      <c r="E198" s="28" t="s">
        <v>158</v>
      </c>
      <c r="F198" s="28" t="s">
        <v>205</v>
      </c>
      <c r="G198" s="29" t="s">
        <v>42</v>
      </c>
      <c r="H198" s="29" t="s">
        <v>103</v>
      </c>
      <c r="I198" s="28" t="s">
        <v>104</v>
      </c>
      <c r="J198" s="29" t="s">
        <v>51</v>
      </c>
      <c r="K198" s="61">
        <v>17167969</v>
      </c>
      <c r="L198" s="51">
        <v>-4589868</v>
      </c>
      <c r="M198" s="51">
        <v>0</v>
      </c>
      <c r="N198" s="51">
        <v>0</v>
      </c>
      <c r="O198" s="51">
        <f t="shared" si="8"/>
        <v>12578101</v>
      </c>
      <c r="P198" s="51">
        <v>11679188.140000001</v>
      </c>
      <c r="Q198" s="51">
        <v>11679188.140000001</v>
      </c>
      <c r="R198" s="51">
        <v>10805137.449999999</v>
      </c>
      <c r="S198" s="51"/>
      <c r="T198" s="51"/>
      <c r="U198" s="51"/>
      <c r="V198" s="51"/>
      <c r="W198" s="51"/>
      <c r="X198" s="52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7"/>
      <c r="FL198" s="27"/>
      <c r="FM198" s="27"/>
      <c r="FN198" s="27"/>
      <c r="FO198" s="27"/>
      <c r="FP198" s="27"/>
      <c r="FQ198" s="27"/>
      <c r="FR198" s="27"/>
      <c r="FS198" s="27"/>
      <c r="FT198" s="27"/>
      <c r="FU198" s="27"/>
      <c r="FV198" s="27"/>
      <c r="FW198" s="27"/>
      <c r="FX198" s="27"/>
      <c r="FY198" s="27"/>
      <c r="FZ198" s="27"/>
      <c r="GA198" s="27"/>
      <c r="GB198" s="27"/>
      <c r="GC198" s="27"/>
      <c r="GD198" s="27"/>
      <c r="GE198" s="27"/>
      <c r="GF198" s="27"/>
      <c r="GG198" s="27"/>
      <c r="GH198" s="27"/>
      <c r="GI198" s="27"/>
      <c r="GJ198" s="27"/>
      <c r="GK198" s="27"/>
      <c r="GL198" s="27"/>
      <c r="GM198" s="27"/>
      <c r="GN198" s="27"/>
      <c r="GO198" s="27"/>
      <c r="GP198" s="27"/>
      <c r="GQ198" s="27"/>
      <c r="GR198" s="27"/>
      <c r="GS198" s="27"/>
      <c r="GT198" s="27"/>
      <c r="GU198" s="27"/>
      <c r="GV198" s="27"/>
      <c r="GW198" s="27"/>
      <c r="GX198" s="27"/>
      <c r="GY198" s="27"/>
      <c r="GZ198" s="27"/>
      <c r="HA198" s="27"/>
      <c r="HB198" s="27"/>
      <c r="HC198" s="27"/>
      <c r="HD198" s="27"/>
      <c r="HE198" s="27"/>
      <c r="HF198" s="27"/>
      <c r="HG198" s="27"/>
      <c r="HH198" s="27"/>
      <c r="HI198" s="27"/>
      <c r="HJ198" s="27"/>
      <c r="HK198" s="27"/>
      <c r="HL198" s="27"/>
      <c r="HM198" s="27"/>
      <c r="HN198" s="27"/>
      <c r="HO198" s="27"/>
      <c r="HP198" s="27"/>
      <c r="HQ198" s="27"/>
      <c r="HR198" s="27"/>
      <c r="HS198" s="27"/>
      <c r="HT198" s="27"/>
      <c r="HU198" s="27"/>
      <c r="HV198" s="27"/>
      <c r="HW198" s="27"/>
      <c r="HX198" s="27"/>
      <c r="HY198" s="27"/>
      <c r="HZ198" s="27"/>
      <c r="IA198" s="27"/>
      <c r="IB198" s="27"/>
      <c r="IC198" s="27"/>
      <c r="ID198" s="27"/>
      <c r="IE198" s="27"/>
      <c r="IF198" s="27"/>
      <c r="IG198" s="27"/>
      <c r="IH198" s="27"/>
      <c r="II198" s="27"/>
      <c r="IJ198" s="27"/>
      <c r="IK198" s="27"/>
      <c r="IL198" s="27"/>
      <c r="IM198" s="27"/>
      <c r="IN198" s="27"/>
      <c r="IO198" s="27"/>
      <c r="IP198" s="27"/>
      <c r="IQ198" s="27"/>
      <c r="IR198" s="27"/>
    </row>
    <row r="199" spans="1:252" s="7" customFormat="1" ht="36" customHeight="1" x14ac:dyDescent="0.2">
      <c r="A199" s="21" t="s">
        <v>99</v>
      </c>
      <c r="B199" s="22" t="s">
        <v>100</v>
      </c>
      <c r="C199" s="29" t="s">
        <v>199</v>
      </c>
      <c r="D199" s="29" t="s">
        <v>204</v>
      </c>
      <c r="E199" s="28" t="s">
        <v>158</v>
      </c>
      <c r="F199" s="28" t="s">
        <v>205</v>
      </c>
      <c r="G199" s="29" t="s">
        <v>42</v>
      </c>
      <c r="H199" s="29" t="s">
        <v>103</v>
      </c>
      <c r="I199" s="28" t="s">
        <v>104</v>
      </c>
      <c r="J199" s="29" t="s">
        <v>128</v>
      </c>
      <c r="K199" s="61">
        <v>163371</v>
      </c>
      <c r="L199" s="51">
        <v>817200</v>
      </c>
      <c r="M199" s="51">
        <v>0</v>
      </c>
      <c r="N199" s="51">
        <v>0</v>
      </c>
      <c r="O199" s="51">
        <f t="shared" si="8"/>
        <v>980571</v>
      </c>
      <c r="P199" s="51">
        <v>980571</v>
      </c>
      <c r="Q199" s="51">
        <v>980571</v>
      </c>
      <c r="R199" s="51">
        <v>16129</v>
      </c>
      <c r="S199" s="51"/>
      <c r="T199" s="51"/>
      <c r="U199" s="51"/>
      <c r="V199" s="51"/>
      <c r="W199" s="51"/>
      <c r="X199" s="52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  <c r="GJ199" s="27"/>
      <c r="GK199" s="27"/>
      <c r="GL199" s="27"/>
      <c r="GM199" s="27"/>
      <c r="GN199" s="27"/>
      <c r="GO199" s="27"/>
      <c r="GP199" s="27"/>
      <c r="GQ199" s="27"/>
      <c r="GR199" s="27"/>
      <c r="GS199" s="27"/>
      <c r="GT199" s="27"/>
      <c r="GU199" s="27"/>
      <c r="GV199" s="27"/>
      <c r="GW199" s="27"/>
      <c r="GX199" s="27"/>
      <c r="GY199" s="27"/>
      <c r="GZ199" s="27"/>
      <c r="HA199" s="27"/>
      <c r="HB199" s="27"/>
      <c r="HC199" s="27"/>
      <c r="HD199" s="27"/>
      <c r="HE199" s="27"/>
      <c r="HF199" s="27"/>
      <c r="HG199" s="27"/>
      <c r="HH199" s="27"/>
      <c r="HI199" s="27"/>
      <c r="HJ199" s="27"/>
      <c r="HK199" s="27"/>
      <c r="HL199" s="27"/>
      <c r="HM199" s="27"/>
      <c r="HN199" s="27"/>
      <c r="HO199" s="27"/>
      <c r="HP199" s="27"/>
      <c r="HQ199" s="27"/>
      <c r="HR199" s="27"/>
      <c r="HS199" s="27"/>
      <c r="HT199" s="27"/>
      <c r="HU199" s="27"/>
      <c r="HV199" s="27"/>
      <c r="HW199" s="27"/>
      <c r="HX199" s="27"/>
      <c r="HY199" s="27"/>
      <c r="HZ199" s="27"/>
      <c r="IA199" s="27"/>
      <c r="IB199" s="27"/>
      <c r="IC199" s="27"/>
      <c r="ID199" s="27"/>
      <c r="IE199" s="27"/>
      <c r="IF199" s="27"/>
      <c r="IG199" s="27"/>
      <c r="IH199" s="27"/>
      <c r="II199" s="27"/>
      <c r="IJ199" s="27"/>
      <c r="IK199" s="27"/>
      <c r="IL199" s="27"/>
      <c r="IM199" s="27"/>
      <c r="IN199" s="27"/>
      <c r="IO199" s="27"/>
      <c r="IP199" s="27"/>
      <c r="IQ199" s="27"/>
      <c r="IR199" s="27"/>
    </row>
    <row r="200" spans="1:252" s="7" customFormat="1" ht="36" customHeight="1" x14ac:dyDescent="0.2">
      <c r="A200" s="21" t="s">
        <v>99</v>
      </c>
      <c r="B200" s="22" t="s">
        <v>100</v>
      </c>
      <c r="C200" s="29" t="s">
        <v>199</v>
      </c>
      <c r="D200" s="29" t="s">
        <v>204</v>
      </c>
      <c r="E200" s="28" t="s">
        <v>158</v>
      </c>
      <c r="F200" s="28" t="s">
        <v>205</v>
      </c>
      <c r="G200" s="29" t="s">
        <v>42</v>
      </c>
      <c r="H200" s="62" t="s">
        <v>56</v>
      </c>
      <c r="I200" s="65" t="s">
        <v>57</v>
      </c>
      <c r="J200" s="29" t="s">
        <v>51</v>
      </c>
      <c r="K200" s="61">
        <v>0</v>
      </c>
      <c r="L200" s="51">
        <v>7113808</v>
      </c>
      <c r="M200" s="51">
        <v>0</v>
      </c>
      <c r="N200" s="51">
        <v>0</v>
      </c>
      <c r="O200" s="51">
        <f t="shared" si="8"/>
        <v>7113808</v>
      </c>
      <c r="P200" s="51">
        <v>6860040.2999999998</v>
      </c>
      <c r="Q200" s="51">
        <v>6860040.2999999998</v>
      </c>
      <c r="R200" s="51">
        <v>3549353.56</v>
      </c>
      <c r="S200" s="51"/>
      <c r="T200" s="51"/>
      <c r="U200" s="51"/>
      <c r="V200" s="51"/>
      <c r="W200" s="51"/>
      <c r="X200" s="52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7"/>
      <c r="GE200" s="27"/>
      <c r="GF200" s="27"/>
      <c r="GG200" s="27"/>
      <c r="GH200" s="27"/>
      <c r="GI200" s="27"/>
      <c r="GJ200" s="27"/>
      <c r="GK200" s="27"/>
      <c r="GL200" s="27"/>
      <c r="GM200" s="27"/>
      <c r="GN200" s="27"/>
      <c r="GO200" s="27"/>
      <c r="GP200" s="27"/>
      <c r="GQ200" s="27"/>
      <c r="GR200" s="27"/>
      <c r="GS200" s="27"/>
      <c r="GT200" s="27"/>
      <c r="GU200" s="27"/>
      <c r="GV200" s="27"/>
      <c r="GW200" s="27"/>
      <c r="GX200" s="27"/>
      <c r="GY200" s="27"/>
      <c r="GZ200" s="27"/>
      <c r="HA200" s="27"/>
      <c r="HB200" s="27"/>
      <c r="HC200" s="27"/>
      <c r="HD200" s="27"/>
      <c r="HE200" s="27"/>
      <c r="HF200" s="27"/>
      <c r="HG200" s="27"/>
      <c r="HH200" s="27"/>
      <c r="HI200" s="27"/>
      <c r="HJ200" s="27"/>
      <c r="HK200" s="27"/>
      <c r="HL200" s="27"/>
      <c r="HM200" s="27"/>
      <c r="HN200" s="27"/>
      <c r="HO200" s="27"/>
      <c r="HP200" s="27"/>
      <c r="HQ200" s="27"/>
      <c r="HR200" s="27"/>
      <c r="HS200" s="27"/>
      <c r="HT200" s="27"/>
      <c r="HU200" s="27"/>
      <c r="HV200" s="27"/>
      <c r="HW200" s="27"/>
      <c r="HX200" s="27"/>
      <c r="HY200" s="27"/>
      <c r="HZ200" s="27"/>
      <c r="IA200" s="27"/>
      <c r="IB200" s="27"/>
      <c r="IC200" s="27"/>
      <c r="ID200" s="27"/>
      <c r="IE200" s="27"/>
      <c r="IF200" s="27"/>
      <c r="IG200" s="27"/>
      <c r="IH200" s="27"/>
      <c r="II200" s="27"/>
      <c r="IJ200" s="27"/>
      <c r="IK200" s="27"/>
      <c r="IL200" s="27"/>
      <c r="IM200" s="27"/>
      <c r="IN200" s="27"/>
      <c r="IO200" s="27"/>
      <c r="IP200" s="27"/>
      <c r="IQ200" s="27"/>
      <c r="IR200" s="27"/>
    </row>
    <row r="201" spans="1:252" s="7" customFormat="1" ht="36" customHeight="1" x14ac:dyDescent="0.2">
      <c r="A201" s="21" t="s">
        <v>99</v>
      </c>
      <c r="B201" s="22" t="s">
        <v>100</v>
      </c>
      <c r="C201" s="29" t="s">
        <v>199</v>
      </c>
      <c r="D201" s="29" t="s">
        <v>204</v>
      </c>
      <c r="E201" s="28" t="s">
        <v>158</v>
      </c>
      <c r="F201" s="28" t="s">
        <v>205</v>
      </c>
      <c r="G201" s="29" t="s">
        <v>42</v>
      </c>
      <c r="H201" s="62" t="s">
        <v>136</v>
      </c>
      <c r="I201" s="63" t="s">
        <v>137</v>
      </c>
      <c r="J201" s="29" t="s">
        <v>51</v>
      </c>
      <c r="K201" s="61">
        <v>0</v>
      </c>
      <c r="L201" s="51">
        <v>84355</v>
      </c>
      <c r="M201" s="51">
        <v>0</v>
      </c>
      <c r="N201" s="51">
        <v>0</v>
      </c>
      <c r="O201" s="51">
        <f t="shared" si="8"/>
        <v>84355</v>
      </c>
      <c r="P201" s="51">
        <v>24000</v>
      </c>
      <c r="Q201" s="51">
        <v>24000</v>
      </c>
      <c r="R201" s="51">
        <v>0</v>
      </c>
      <c r="S201" s="51"/>
      <c r="T201" s="51"/>
      <c r="U201" s="51"/>
      <c r="V201" s="51"/>
      <c r="W201" s="51"/>
      <c r="X201" s="52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  <c r="GF201" s="27"/>
      <c r="GG201" s="27"/>
      <c r="GH201" s="27"/>
      <c r="GI201" s="27"/>
      <c r="GJ201" s="27"/>
      <c r="GK201" s="27"/>
      <c r="GL201" s="27"/>
      <c r="GM201" s="27"/>
      <c r="GN201" s="27"/>
      <c r="GO201" s="27"/>
      <c r="GP201" s="27"/>
      <c r="GQ201" s="27"/>
      <c r="GR201" s="27"/>
      <c r="GS201" s="27"/>
      <c r="GT201" s="27"/>
      <c r="GU201" s="27"/>
      <c r="GV201" s="27"/>
      <c r="GW201" s="27"/>
      <c r="GX201" s="27"/>
      <c r="GY201" s="27"/>
      <c r="GZ201" s="27"/>
      <c r="HA201" s="27"/>
      <c r="HB201" s="27"/>
      <c r="HC201" s="27"/>
      <c r="HD201" s="27"/>
      <c r="HE201" s="27"/>
      <c r="HF201" s="27"/>
      <c r="HG201" s="27"/>
      <c r="HH201" s="27"/>
      <c r="HI201" s="27"/>
      <c r="HJ201" s="27"/>
      <c r="HK201" s="27"/>
      <c r="HL201" s="27"/>
      <c r="HM201" s="27"/>
      <c r="HN201" s="27"/>
      <c r="HO201" s="27"/>
      <c r="HP201" s="27"/>
      <c r="HQ201" s="27"/>
      <c r="HR201" s="27"/>
      <c r="HS201" s="27"/>
      <c r="HT201" s="27"/>
      <c r="HU201" s="27"/>
      <c r="HV201" s="27"/>
      <c r="HW201" s="27"/>
      <c r="HX201" s="27"/>
      <c r="HY201" s="27"/>
      <c r="HZ201" s="27"/>
      <c r="IA201" s="27"/>
      <c r="IB201" s="27"/>
      <c r="IC201" s="27"/>
      <c r="ID201" s="27"/>
      <c r="IE201" s="27"/>
      <c r="IF201" s="27"/>
      <c r="IG201" s="27"/>
      <c r="IH201" s="27"/>
      <c r="II201" s="27"/>
      <c r="IJ201" s="27"/>
      <c r="IK201" s="27"/>
      <c r="IL201" s="27"/>
      <c r="IM201" s="27"/>
      <c r="IN201" s="27"/>
      <c r="IO201" s="27"/>
      <c r="IP201" s="27"/>
      <c r="IQ201" s="27"/>
      <c r="IR201" s="27"/>
    </row>
    <row r="202" spans="1:252" s="7" customFormat="1" ht="36" customHeight="1" x14ac:dyDescent="0.2">
      <c r="A202" s="21" t="s">
        <v>99</v>
      </c>
      <c r="B202" s="22" t="s">
        <v>100</v>
      </c>
      <c r="C202" s="29" t="s">
        <v>199</v>
      </c>
      <c r="D202" s="29" t="s">
        <v>204</v>
      </c>
      <c r="E202" s="28" t="s">
        <v>158</v>
      </c>
      <c r="F202" s="28" t="s">
        <v>205</v>
      </c>
      <c r="G202" s="29" t="s">
        <v>42</v>
      </c>
      <c r="H202" s="62" t="s">
        <v>136</v>
      </c>
      <c r="I202" s="63" t="s">
        <v>137</v>
      </c>
      <c r="J202" s="29" t="s">
        <v>128</v>
      </c>
      <c r="K202" s="61">
        <v>0</v>
      </c>
      <c r="L202" s="51">
        <v>1176000</v>
      </c>
      <c r="M202" s="51">
        <v>0</v>
      </c>
      <c r="N202" s="51">
        <v>0</v>
      </c>
      <c r="O202" s="51">
        <f t="shared" si="8"/>
        <v>1176000</v>
      </c>
      <c r="P202" s="51">
        <v>945420.80000000005</v>
      </c>
      <c r="Q202" s="51">
        <v>945420.80000000005</v>
      </c>
      <c r="R202" s="51">
        <v>58400</v>
      </c>
      <c r="S202" s="51"/>
      <c r="T202" s="51"/>
      <c r="U202" s="51"/>
      <c r="V202" s="51"/>
      <c r="W202" s="51"/>
      <c r="X202" s="52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  <c r="GF202" s="27"/>
      <c r="GG202" s="27"/>
      <c r="GH202" s="27"/>
      <c r="GI202" s="27"/>
      <c r="GJ202" s="27"/>
      <c r="GK202" s="27"/>
      <c r="GL202" s="27"/>
      <c r="GM202" s="27"/>
      <c r="GN202" s="27"/>
      <c r="GO202" s="27"/>
      <c r="GP202" s="27"/>
      <c r="GQ202" s="27"/>
      <c r="GR202" s="27"/>
      <c r="GS202" s="27"/>
      <c r="GT202" s="27"/>
      <c r="GU202" s="27"/>
      <c r="GV202" s="27"/>
      <c r="GW202" s="27"/>
      <c r="GX202" s="27"/>
      <c r="GY202" s="27"/>
      <c r="GZ202" s="27"/>
      <c r="HA202" s="27"/>
      <c r="HB202" s="27"/>
      <c r="HC202" s="27"/>
      <c r="HD202" s="27"/>
      <c r="HE202" s="27"/>
      <c r="HF202" s="27"/>
      <c r="HG202" s="27"/>
      <c r="HH202" s="27"/>
      <c r="HI202" s="27"/>
      <c r="HJ202" s="27"/>
      <c r="HK202" s="27"/>
      <c r="HL202" s="27"/>
      <c r="HM202" s="27"/>
      <c r="HN202" s="27"/>
      <c r="HO202" s="27"/>
      <c r="HP202" s="27"/>
      <c r="HQ202" s="27"/>
      <c r="HR202" s="27"/>
      <c r="HS202" s="27"/>
      <c r="HT202" s="27"/>
      <c r="HU202" s="27"/>
      <c r="HV202" s="27"/>
      <c r="HW202" s="27"/>
      <c r="HX202" s="27"/>
      <c r="HY202" s="27"/>
      <c r="HZ202" s="27"/>
      <c r="IA202" s="27"/>
      <c r="IB202" s="27"/>
      <c r="IC202" s="27"/>
      <c r="ID202" s="27"/>
      <c r="IE202" s="27"/>
      <c r="IF202" s="27"/>
      <c r="IG202" s="27"/>
      <c r="IH202" s="27"/>
      <c r="II202" s="27"/>
      <c r="IJ202" s="27"/>
      <c r="IK202" s="27"/>
      <c r="IL202" s="27"/>
      <c r="IM202" s="27"/>
      <c r="IN202" s="27"/>
      <c r="IO202" s="27"/>
      <c r="IP202" s="27"/>
      <c r="IQ202" s="27"/>
      <c r="IR202" s="27"/>
    </row>
    <row r="203" spans="1:252" s="7" customFormat="1" ht="36" customHeight="1" x14ac:dyDescent="0.2">
      <c r="A203" s="21" t="s">
        <v>99</v>
      </c>
      <c r="B203" s="22" t="s">
        <v>100</v>
      </c>
      <c r="C203" s="29" t="s">
        <v>199</v>
      </c>
      <c r="D203" s="29" t="s">
        <v>206</v>
      </c>
      <c r="E203" s="28" t="s">
        <v>158</v>
      </c>
      <c r="F203" s="28" t="s">
        <v>207</v>
      </c>
      <c r="G203" s="29" t="s">
        <v>42</v>
      </c>
      <c r="H203" s="29" t="s">
        <v>43</v>
      </c>
      <c r="I203" s="28" t="s">
        <v>44</v>
      </c>
      <c r="J203" s="29" t="s">
        <v>128</v>
      </c>
      <c r="K203" s="61">
        <v>80000</v>
      </c>
      <c r="L203" s="51">
        <v>-80000</v>
      </c>
      <c r="M203" s="51">
        <v>0</v>
      </c>
      <c r="N203" s="51">
        <v>0</v>
      </c>
      <c r="O203" s="51">
        <f>K203+L203+M203+N203</f>
        <v>0</v>
      </c>
      <c r="P203" s="51"/>
      <c r="Q203" s="51"/>
      <c r="R203" s="51"/>
      <c r="S203" s="51">
        <v>0</v>
      </c>
      <c r="T203" s="51">
        <v>0</v>
      </c>
      <c r="U203" s="51">
        <v>0</v>
      </c>
      <c r="V203" s="51"/>
      <c r="W203" s="51"/>
      <c r="X203" s="52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/>
      <c r="FV203" s="27"/>
      <c r="FW203" s="27"/>
      <c r="FX203" s="27"/>
      <c r="FY203" s="27"/>
      <c r="FZ203" s="27"/>
      <c r="GA203" s="27"/>
      <c r="GB203" s="27"/>
      <c r="GC203" s="27"/>
      <c r="GD203" s="27"/>
      <c r="GE203" s="27"/>
      <c r="GF203" s="27"/>
      <c r="GG203" s="27"/>
      <c r="GH203" s="27"/>
      <c r="GI203" s="27"/>
      <c r="GJ203" s="27"/>
      <c r="GK203" s="27"/>
      <c r="GL203" s="27"/>
      <c r="GM203" s="27"/>
      <c r="GN203" s="27"/>
      <c r="GO203" s="27"/>
      <c r="GP203" s="27"/>
      <c r="GQ203" s="27"/>
      <c r="GR203" s="27"/>
      <c r="GS203" s="27"/>
      <c r="GT203" s="27"/>
      <c r="GU203" s="27"/>
      <c r="GV203" s="27"/>
      <c r="GW203" s="27"/>
      <c r="GX203" s="27"/>
      <c r="GY203" s="27"/>
      <c r="GZ203" s="27"/>
      <c r="HA203" s="27"/>
      <c r="HB203" s="27"/>
      <c r="HC203" s="27"/>
      <c r="HD203" s="27"/>
      <c r="HE203" s="27"/>
      <c r="HF203" s="27"/>
      <c r="HG203" s="27"/>
      <c r="HH203" s="27"/>
      <c r="HI203" s="27"/>
      <c r="HJ203" s="27"/>
      <c r="HK203" s="27"/>
      <c r="HL203" s="27"/>
      <c r="HM203" s="27"/>
      <c r="HN203" s="27"/>
      <c r="HO203" s="27"/>
      <c r="HP203" s="27"/>
      <c r="HQ203" s="27"/>
      <c r="HR203" s="27"/>
      <c r="HS203" s="27"/>
      <c r="HT203" s="27"/>
      <c r="HU203" s="27"/>
      <c r="HV203" s="27"/>
      <c r="HW203" s="27"/>
      <c r="HX203" s="27"/>
      <c r="HY203" s="27"/>
      <c r="HZ203" s="27"/>
      <c r="IA203" s="27"/>
      <c r="IB203" s="27"/>
      <c r="IC203" s="27"/>
      <c r="ID203" s="27"/>
      <c r="IE203" s="27"/>
      <c r="IF203" s="27"/>
      <c r="IG203" s="27"/>
      <c r="IH203" s="27"/>
      <c r="II203" s="27"/>
      <c r="IJ203" s="27"/>
      <c r="IK203" s="27"/>
      <c r="IL203" s="27"/>
      <c r="IM203" s="27"/>
      <c r="IN203" s="27"/>
      <c r="IO203" s="27"/>
      <c r="IP203" s="27"/>
      <c r="IQ203" s="27"/>
      <c r="IR203" s="27"/>
    </row>
    <row r="204" spans="1:252" s="7" customFormat="1" ht="36" customHeight="1" x14ac:dyDescent="0.2">
      <c r="A204" s="21" t="s">
        <v>99</v>
      </c>
      <c r="B204" s="22" t="s">
        <v>100</v>
      </c>
      <c r="C204" s="29" t="s">
        <v>199</v>
      </c>
      <c r="D204" s="29" t="s">
        <v>206</v>
      </c>
      <c r="E204" s="28" t="s">
        <v>158</v>
      </c>
      <c r="F204" s="28" t="s">
        <v>207</v>
      </c>
      <c r="G204" s="29" t="s">
        <v>42</v>
      </c>
      <c r="H204" s="29" t="s">
        <v>103</v>
      </c>
      <c r="I204" s="28" t="s">
        <v>104</v>
      </c>
      <c r="J204" s="29" t="s">
        <v>51</v>
      </c>
      <c r="K204" s="61">
        <v>2298631</v>
      </c>
      <c r="L204" s="51">
        <v>20000</v>
      </c>
      <c r="M204" s="51">
        <v>0</v>
      </c>
      <c r="N204" s="51">
        <v>0</v>
      </c>
      <c r="O204" s="51">
        <f t="shared" si="8"/>
        <v>2318631</v>
      </c>
      <c r="P204" s="51"/>
      <c r="Q204" s="51"/>
      <c r="R204" s="51"/>
      <c r="S204" s="51">
        <v>1883069.27</v>
      </c>
      <c r="T204" s="51">
        <v>1883069.27</v>
      </c>
      <c r="U204" s="51">
        <v>1753093.31</v>
      </c>
      <c r="V204" s="51"/>
      <c r="W204" s="51"/>
      <c r="X204" s="52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F204" s="27"/>
      <c r="GG204" s="27"/>
      <c r="GH204" s="27"/>
      <c r="GI204" s="27"/>
      <c r="GJ204" s="27"/>
      <c r="GK204" s="27"/>
      <c r="GL204" s="27"/>
      <c r="GM204" s="27"/>
      <c r="GN204" s="27"/>
      <c r="GO204" s="27"/>
      <c r="GP204" s="27"/>
      <c r="GQ204" s="27"/>
      <c r="GR204" s="27"/>
      <c r="GS204" s="27"/>
      <c r="GT204" s="27"/>
      <c r="GU204" s="27"/>
      <c r="GV204" s="27"/>
      <c r="GW204" s="27"/>
      <c r="GX204" s="27"/>
      <c r="GY204" s="27"/>
      <c r="GZ204" s="27"/>
      <c r="HA204" s="27"/>
      <c r="HB204" s="27"/>
      <c r="HC204" s="27"/>
      <c r="HD204" s="27"/>
      <c r="HE204" s="27"/>
      <c r="HF204" s="27"/>
      <c r="HG204" s="27"/>
      <c r="HH204" s="27"/>
      <c r="HI204" s="27"/>
      <c r="HJ204" s="27"/>
      <c r="HK204" s="27"/>
      <c r="HL204" s="27"/>
      <c r="HM204" s="27"/>
      <c r="HN204" s="27"/>
      <c r="HO204" s="27"/>
      <c r="HP204" s="27"/>
      <c r="HQ204" s="27"/>
      <c r="HR204" s="27"/>
      <c r="HS204" s="27"/>
      <c r="HT204" s="27"/>
      <c r="HU204" s="27"/>
      <c r="HV204" s="27"/>
      <c r="HW204" s="27"/>
      <c r="HX204" s="27"/>
      <c r="HY204" s="27"/>
      <c r="HZ204" s="27"/>
      <c r="IA204" s="27"/>
      <c r="IB204" s="27"/>
      <c r="IC204" s="27"/>
      <c r="ID204" s="27"/>
      <c r="IE204" s="27"/>
      <c r="IF204" s="27"/>
      <c r="IG204" s="27"/>
      <c r="IH204" s="27"/>
      <c r="II204" s="27"/>
      <c r="IJ204" s="27"/>
      <c r="IK204" s="27"/>
      <c r="IL204" s="27"/>
      <c r="IM204" s="27"/>
      <c r="IN204" s="27"/>
      <c r="IO204" s="27"/>
      <c r="IP204" s="27"/>
      <c r="IQ204" s="27"/>
      <c r="IR204" s="27"/>
    </row>
    <row r="205" spans="1:252" s="7" customFormat="1" ht="36" customHeight="1" x14ac:dyDescent="0.2">
      <c r="A205" s="21" t="s">
        <v>99</v>
      </c>
      <c r="B205" s="22" t="s">
        <v>100</v>
      </c>
      <c r="C205" s="29" t="s">
        <v>199</v>
      </c>
      <c r="D205" s="29" t="s">
        <v>206</v>
      </c>
      <c r="E205" s="28" t="s">
        <v>158</v>
      </c>
      <c r="F205" s="28" t="s">
        <v>207</v>
      </c>
      <c r="G205" s="29" t="s">
        <v>42</v>
      </c>
      <c r="H205" s="29" t="s">
        <v>103</v>
      </c>
      <c r="I205" s="28" t="s">
        <v>104</v>
      </c>
      <c r="J205" s="29" t="s">
        <v>128</v>
      </c>
      <c r="K205" s="61">
        <v>0</v>
      </c>
      <c r="L205" s="51">
        <v>182668</v>
      </c>
      <c r="M205" s="51">
        <v>0</v>
      </c>
      <c r="N205" s="51">
        <v>0</v>
      </c>
      <c r="O205" s="51">
        <f t="shared" si="8"/>
        <v>182668</v>
      </c>
      <c r="P205" s="51"/>
      <c r="Q205" s="51"/>
      <c r="R205" s="51"/>
      <c r="S205" s="51">
        <v>182668</v>
      </c>
      <c r="T205" s="51">
        <v>182668</v>
      </c>
      <c r="U205" s="51">
        <v>0</v>
      </c>
      <c r="V205" s="51"/>
      <c r="W205" s="51"/>
      <c r="X205" s="52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  <c r="FP205" s="27"/>
      <c r="FQ205" s="27"/>
      <c r="FR205" s="27"/>
      <c r="FS205" s="27"/>
      <c r="FT205" s="27"/>
      <c r="FU205" s="27"/>
      <c r="FV205" s="27"/>
      <c r="FW205" s="27"/>
      <c r="FX205" s="27"/>
      <c r="FY205" s="27"/>
      <c r="FZ205" s="27"/>
      <c r="GA205" s="27"/>
      <c r="GB205" s="27"/>
      <c r="GC205" s="27"/>
      <c r="GD205" s="27"/>
      <c r="GE205" s="27"/>
      <c r="GF205" s="27"/>
      <c r="GG205" s="27"/>
      <c r="GH205" s="27"/>
      <c r="GI205" s="27"/>
      <c r="GJ205" s="27"/>
      <c r="GK205" s="27"/>
      <c r="GL205" s="27"/>
      <c r="GM205" s="27"/>
      <c r="GN205" s="27"/>
      <c r="GO205" s="27"/>
      <c r="GP205" s="27"/>
      <c r="GQ205" s="27"/>
      <c r="GR205" s="27"/>
      <c r="GS205" s="27"/>
      <c r="GT205" s="27"/>
      <c r="GU205" s="27"/>
      <c r="GV205" s="27"/>
      <c r="GW205" s="27"/>
      <c r="GX205" s="27"/>
      <c r="GY205" s="27"/>
      <c r="GZ205" s="27"/>
      <c r="HA205" s="27"/>
      <c r="HB205" s="27"/>
      <c r="HC205" s="27"/>
      <c r="HD205" s="27"/>
      <c r="HE205" s="27"/>
      <c r="HF205" s="27"/>
      <c r="HG205" s="27"/>
      <c r="HH205" s="27"/>
      <c r="HI205" s="27"/>
      <c r="HJ205" s="27"/>
      <c r="HK205" s="27"/>
      <c r="HL205" s="27"/>
      <c r="HM205" s="27"/>
      <c r="HN205" s="27"/>
      <c r="HO205" s="27"/>
      <c r="HP205" s="27"/>
      <c r="HQ205" s="27"/>
      <c r="HR205" s="27"/>
      <c r="HS205" s="27"/>
      <c r="HT205" s="27"/>
      <c r="HU205" s="27"/>
      <c r="HV205" s="27"/>
      <c r="HW205" s="27"/>
      <c r="HX205" s="27"/>
      <c r="HY205" s="27"/>
      <c r="HZ205" s="27"/>
      <c r="IA205" s="27"/>
      <c r="IB205" s="27"/>
      <c r="IC205" s="27"/>
      <c r="ID205" s="27"/>
      <c r="IE205" s="27"/>
      <c r="IF205" s="27"/>
      <c r="IG205" s="27"/>
      <c r="IH205" s="27"/>
      <c r="II205" s="27"/>
      <c r="IJ205" s="27"/>
      <c r="IK205" s="27"/>
      <c r="IL205" s="27"/>
      <c r="IM205" s="27"/>
      <c r="IN205" s="27"/>
      <c r="IO205" s="27"/>
      <c r="IP205" s="27"/>
      <c r="IQ205" s="27"/>
      <c r="IR205" s="27"/>
    </row>
    <row r="206" spans="1:252" s="7" customFormat="1" ht="36" customHeight="1" x14ac:dyDescent="0.2">
      <c r="A206" s="21" t="s">
        <v>99</v>
      </c>
      <c r="B206" s="22" t="s">
        <v>100</v>
      </c>
      <c r="C206" s="29" t="s">
        <v>199</v>
      </c>
      <c r="D206" s="29" t="s">
        <v>206</v>
      </c>
      <c r="E206" s="28" t="s">
        <v>158</v>
      </c>
      <c r="F206" s="28" t="s">
        <v>207</v>
      </c>
      <c r="G206" s="29" t="s">
        <v>42</v>
      </c>
      <c r="H206" s="62" t="s">
        <v>56</v>
      </c>
      <c r="I206" s="65" t="s">
        <v>57</v>
      </c>
      <c r="J206" s="29" t="s">
        <v>51</v>
      </c>
      <c r="K206" s="61">
        <v>0</v>
      </c>
      <c r="L206" s="51">
        <v>508871</v>
      </c>
      <c r="M206" s="51">
        <v>0</v>
      </c>
      <c r="N206" s="51">
        <v>0</v>
      </c>
      <c r="O206" s="51">
        <f t="shared" si="8"/>
        <v>508871</v>
      </c>
      <c r="P206" s="51"/>
      <c r="Q206" s="51"/>
      <c r="R206" s="51"/>
      <c r="S206" s="51">
        <v>495404.55</v>
      </c>
      <c r="T206" s="51">
        <v>495404.55</v>
      </c>
      <c r="U206" s="51">
        <v>284703.82</v>
      </c>
      <c r="V206" s="51"/>
      <c r="W206" s="51"/>
      <c r="X206" s="52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  <c r="FP206" s="27"/>
      <c r="FQ206" s="27"/>
      <c r="FR206" s="27"/>
      <c r="FS206" s="27"/>
      <c r="FT206" s="27"/>
      <c r="FU206" s="27"/>
      <c r="FV206" s="27"/>
      <c r="FW206" s="27"/>
      <c r="FX206" s="27"/>
      <c r="FY206" s="27"/>
      <c r="FZ206" s="27"/>
      <c r="GA206" s="27"/>
      <c r="GB206" s="27"/>
      <c r="GC206" s="27"/>
      <c r="GD206" s="27"/>
      <c r="GE206" s="27"/>
      <c r="GF206" s="27"/>
      <c r="GG206" s="27"/>
      <c r="GH206" s="27"/>
      <c r="GI206" s="27"/>
      <c r="GJ206" s="27"/>
      <c r="GK206" s="27"/>
      <c r="GL206" s="27"/>
      <c r="GM206" s="27"/>
      <c r="GN206" s="27"/>
      <c r="GO206" s="27"/>
      <c r="GP206" s="27"/>
      <c r="GQ206" s="27"/>
      <c r="GR206" s="27"/>
      <c r="GS206" s="27"/>
      <c r="GT206" s="27"/>
      <c r="GU206" s="27"/>
      <c r="GV206" s="27"/>
      <c r="GW206" s="27"/>
      <c r="GX206" s="27"/>
      <c r="GY206" s="27"/>
      <c r="GZ206" s="27"/>
      <c r="HA206" s="27"/>
      <c r="HB206" s="27"/>
      <c r="HC206" s="27"/>
      <c r="HD206" s="27"/>
      <c r="HE206" s="27"/>
      <c r="HF206" s="27"/>
      <c r="HG206" s="27"/>
      <c r="HH206" s="27"/>
      <c r="HI206" s="27"/>
      <c r="HJ206" s="27"/>
      <c r="HK206" s="27"/>
      <c r="HL206" s="27"/>
      <c r="HM206" s="27"/>
      <c r="HN206" s="27"/>
      <c r="HO206" s="27"/>
      <c r="HP206" s="27"/>
      <c r="HQ206" s="27"/>
      <c r="HR206" s="27"/>
      <c r="HS206" s="27"/>
      <c r="HT206" s="27"/>
      <c r="HU206" s="27"/>
      <c r="HV206" s="27"/>
      <c r="HW206" s="27"/>
      <c r="HX206" s="27"/>
      <c r="HY206" s="27"/>
      <c r="HZ206" s="27"/>
      <c r="IA206" s="27"/>
      <c r="IB206" s="27"/>
      <c r="IC206" s="27"/>
      <c r="ID206" s="27"/>
      <c r="IE206" s="27"/>
      <c r="IF206" s="27"/>
      <c r="IG206" s="27"/>
      <c r="IH206" s="27"/>
      <c r="II206" s="27"/>
      <c r="IJ206" s="27"/>
      <c r="IK206" s="27"/>
      <c r="IL206" s="27"/>
      <c r="IM206" s="27"/>
      <c r="IN206" s="27"/>
      <c r="IO206" s="27"/>
      <c r="IP206" s="27"/>
      <c r="IQ206" s="27"/>
      <c r="IR206" s="27"/>
    </row>
    <row r="207" spans="1:252" s="7" customFormat="1" ht="36" customHeight="1" x14ac:dyDescent="0.2">
      <c r="A207" s="21" t="s">
        <v>99</v>
      </c>
      <c r="B207" s="22" t="s">
        <v>100</v>
      </c>
      <c r="C207" s="29" t="s">
        <v>199</v>
      </c>
      <c r="D207" s="29" t="s">
        <v>206</v>
      </c>
      <c r="E207" s="28" t="s">
        <v>158</v>
      </c>
      <c r="F207" s="28" t="s">
        <v>207</v>
      </c>
      <c r="G207" s="29" t="s">
        <v>42</v>
      </c>
      <c r="H207" s="62" t="s">
        <v>136</v>
      </c>
      <c r="I207" s="63" t="s">
        <v>137</v>
      </c>
      <c r="J207" s="29" t="s">
        <v>51</v>
      </c>
      <c r="K207" s="61">
        <v>0</v>
      </c>
      <c r="L207" s="51">
        <v>3772</v>
      </c>
      <c r="M207" s="51">
        <v>0</v>
      </c>
      <c r="N207" s="51">
        <v>0</v>
      </c>
      <c r="O207" s="51">
        <f t="shared" si="8"/>
        <v>3772</v>
      </c>
      <c r="P207" s="51"/>
      <c r="Q207" s="51"/>
      <c r="R207" s="51"/>
      <c r="S207" s="51">
        <v>0</v>
      </c>
      <c r="T207" s="51">
        <v>0</v>
      </c>
      <c r="U207" s="51">
        <v>0</v>
      </c>
      <c r="V207" s="51"/>
      <c r="W207" s="51"/>
      <c r="X207" s="52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7"/>
      <c r="GE207" s="27"/>
      <c r="GF207" s="27"/>
      <c r="GG207" s="27"/>
      <c r="GH207" s="27"/>
      <c r="GI207" s="27"/>
      <c r="GJ207" s="27"/>
      <c r="GK207" s="27"/>
      <c r="GL207" s="27"/>
      <c r="GM207" s="27"/>
      <c r="GN207" s="27"/>
      <c r="GO207" s="27"/>
      <c r="GP207" s="27"/>
      <c r="GQ207" s="27"/>
      <c r="GR207" s="27"/>
      <c r="GS207" s="27"/>
      <c r="GT207" s="27"/>
      <c r="GU207" s="27"/>
      <c r="GV207" s="27"/>
      <c r="GW207" s="27"/>
      <c r="GX207" s="27"/>
      <c r="GY207" s="27"/>
      <c r="GZ207" s="27"/>
      <c r="HA207" s="27"/>
      <c r="HB207" s="27"/>
      <c r="HC207" s="27"/>
      <c r="HD207" s="27"/>
      <c r="HE207" s="27"/>
      <c r="HF207" s="27"/>
      <c r="HG207" s="27"/>
      <c r="HH207" s="27"/>
      <c r="HI207" s="27"/>
      <c r="HJ207" s="27"/>
      <c r="HK207" s="27"/>
      <c r="HL207" s="27"/>
      <c r="HM207" s="27"/>
      <c r="HN207" s="27"/>
      <c r="HO207" s="27"/>
      <c r="HP207" s="27"/>
      <c r="HQ207" s="27"/>
      <c r="HR207" s="27"/>
      <c r="HS207" s="27"/>
      <c r="HT207" s="27"/>
      <c r="HU207" s="27"/>
      <c r="HV207" s="27"/>
      <c r="HW207" s="27"/>
      <c r="HX207" s="27"/>
      <c r="HY207" s="27"/>
      <c r="HZ207" s="27"/>
      <c r="IA207" s="27"/>
      <c r="IB207" s="27"/>
      <c r="IC207" s="27"/>
      <c r="ID207" s="27"/>
      <c r="IE207" s="27"/>
      <c r="IF207" s="27"/>
      <c r="IG207" s="27"/>
      <c r="IH207" s="27"/>
      <c r="II207" s="27"/>
      <c r="IJ207" s="27"/>
      <c r="IK207" s="27"/>
      <c r="IL207" s="27"/>
      <c r="IM207" s="27"/>
      <c r="IN207" s="27"/>
      <c r="IO207" s="27"/>
      <c r="IP207" s="27"/>
      <c r="IQ207" s="27"/>
      <c r="IR207" s="27"/>
    </row>
    <row r="208" spans="1:252" s="7" customFormat="1" ht="36" customHeight="1" x14ac:dyDescent="0.2">
      <c r="A208" s="21" t="s">
        <v>99</v>
      </c>
      <c r="B208" s="22" t="s">
        <v>100</v>
      </c>
      <c r="C208" s="29" t="s">
        <v>199</v>
      </c>
      <c r="D208" s="29" t="s">
        <v>206</v>
      </c>
      <c r="E208" s="28" t="s">
        <v>158</v>
      </c>
      <c r="F208" s="28" t="s">
        <v>207</v>
      </c>
      <c r="G208" s="29" t="s">
        <v>42</v>
      </c>
      <c r="H208" s="62" t="s">
        <v>136</v>
      </c>
      <c r="I208" s="63" t="s">
        <v>137</v>
      </c>
      <c r="J208" s="29" t="s">
        <v>128</v>
      </c>
      <c r="K208" s="61">
        <v>0</v>
      </c>
      <c r="L208" s="51">
        <f>100000-100000</f>
        <v>0</v>
      </c>
      <c r="M208" s="51">
        <v>0</v>
      </c>
      <c r="N208" s="51">
        <v>0</v>
      </c>
      <c r="O208" s="51">
        <f t="shared" si="8"/>
        <v>0</v>
      </c>
      <c r="P208" s="51"/>
      <c r="Q208" s="51"/>
      <c r="R208" s="51"/>
      <c r="S208" s="51">
        <v>0</v>
      </c>
      <c r="T208" s="51">
        <v>0</v>
      </c>
      <c r="U208" s="51">
        <v>0</v>
      </c>
      <c r="V208" s="51"/>
      <c r="W208" s="51"/>
      <c r="X208" s="52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F208" s="27"/>
      <c r="GG208" s="27"/>
      <c r="GH208" s="27"/>
      <c r="GI208" s="27"/>
      <c r="GJ208" s="27"/>
      <c r="GK208" s="27"/>
      <c r="GL208" s="27"/>
      <c r="GM208" s="27"/>
      <c r="GN208" s="27"/>
      <c r="GO208" s="27"/>
      <c r="GP208" s="27"/>
      <c r="GQ208" s="27"/>
      <c r="GR208" s="27"/>
      <c r="GS208" s="27"/>
      <c r="GT208" s="27"/>
      <c r="GU208" s="27"/>
      <c r="GV208" s="27"/>
      <c r="GW208" s="27"/>
      <c r="GX208" s="27"/>
      <c r="GY208" s="27"/>
      <c r="GZ208" s="27"/>
      <c r="HA208" s="27"/>
      <c r="HB208" s="27"/>
      <c r="HC208" s="27"/>
      <c r="HD208" s="27"/>
      <c r="HE208" s="27"/>
      <c r="HF208" s="27"/>
      <c r="HG208" s="27"/>
      <c r="HH208" s="27"/>
      <c r="HI208" s="27"/>
      <c r="HJ208" s="27"/>
      <c r="HK208" s="27"/>
      <c r="HL208" s="27"/>
      <c r="HM208" s="27"/>
      <c r="HN208" s="27"/>
      <c r="HO208" s="27"/>
      <c r="HP208" s="27"/>
      <c r="HQ208" s="27"/>
      <c r="HR208" s="27"/>
      <c r="HS208" s="27"/>
      <c r="HT208" s="27"/>
      <c r="HU208" s="27"/>
      <c r="HV208" s="27"/>
      <c r="HW208" s="27"/>
      <c r="HX208" s="27"/>
      <c r="HY208" s="27"/>
      <c r="HZ208" s="27"/>
      <c r="IA208" s="27"/>
      <c r="IB208" s="27"/>
      <c r="IC208" s="27"/>
      <c r="ID208" s="27"/>
      <c r="IE208" s="27"/>
      <c r="IF208" s="27"/>
      <c r="IG208" s="27"/>
      <c r="IH208" s="27"/>
      <c r="II208" s="27"/>
      <c r="IJ208" s="27"/>
      <c r="IK208" s="27"/>
      <c r="IL208" s="27"/>
      <c r="IM208" s="27"/>
      <c r="IN208" s="27"/>
      <c r="IO208" s="27"/>
      <c r="IP208" s="27"/>
      <c r="IQ208" s="27"/>
      <c r="IR208" s="27"/>
    </row>
    <row r="209" spans="1:252" s="7" customFormat="1" ht="36" customHeight="1" x14ac:dyDescent="0.2">
      <c r="A209" s="21" t="s">
        <v>99</v>
      </c>
      <c r="B209" s="22" t="s">
        <v>100</v>
      </c>
      <c r="C209" s="29" t="s">
        <v>199</v>
      </c>
      <c r="D209" s="29" t="s">
        <v>208</v>
      </c>
      <c r="E209" s="28" t="s">
        <v>158</v>
      </c>
      <c r="F209" s="28" t="s">
        <v>209</v>
      </c>
      <c r="G209" s="29" t="s">
        <v>42</v>
      </c>
      <c r="H209" s="29" t="s">
        <v>43</v>
      </c>
      <c r="I209" s="28" t="s">
        <v>44</v>
      </c>
      <c r="J209" s="29" t="s">
        <v>51</v>
      </c>
      <c r="K209" s="61">
        <v>294968</v>
      </c>
      <c r="L209" s="51">
        <v>-43968</v>
      </c>
      <c r="M209" s="51">
        <v>0</v>
      </c>
      <c r="N209" s="51">
        <v>0</v>
      </c>
      <c r="O209" s="51">
        <f t="shared" si="8"/>
        <v>251000</v>
      </c>
      <c r="P209" s="51"/>
      <c r="Q209" s="51"/>
      <c r="R209" s="51"/>
      <c r="S209" s="51"/>
      <c r="T209" s="51"/>
      <c r="U209" s="51"/>
      <c r="V209" s="51">
        <v>244029.86</v>
      </c>
      <c r="W209" s="51">
        <v>244029.86</v>
      </c>
      <c r="X209" s="52">
        <v>244029.86</v>
      </c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  <c r="FJ209" s="27"/>
      <c r="FK209" s="27"/>
      <c r="FL209" s="27"/>
      <c r="FM209" s="27"/>
      <c r="FN209" s="27"/>
      <c r="FO209" s="27"/>
      <c r="FP209" s="27"/>
      <c r="FQ209" s="27"/>
      <c r="FR209" s="27"/>
      <c r="FS209" s="27"/>
      <c r="FT209" s="27"/>
      <c r="FU209" s="27"/>
      <c r="FV209" s="27"/>
      <c r="FW209" s="27"/>
      <c r="FX209" s="27"/>
      <c r="FY209" s="27"/>
      <c r="FZ209" s="27"/>
      <c r="GA209" s="27"/>
      <c r="GB209" s="27"/>
      <c r="GC209" s="27"/>
      <c r="GD209" s="27"/>
      <c r="GE209" s="27"/>
      <c r="GF209" s="27"/>
      <c r="GG209" s="27"/>
      <c r="GH209" s="27"/>
      <c r="GI209" s="27"/>
      <c r="GJ209" s="27"/>
      <c r="GK209" s="27"/>
      <c r="GL209" s="27"/>
      <c r="GM209" s="27"/>
      <c r="GN209" s="27"/>
      <c r="GO209" s="27"/>
      <c r="GP209" s="27"/>
      <c r="GQ209" s="27"/>
      <c r="GR209" s="27"/>
      <c r="GS209" s="27"/>
      <c r="GT209" s="27"/>
      <c r="GU209" s="27"/>
      <c r="GV209" s="27"/>
      <c r="GW209" s="27"/>
      <c r="GX209" s="27"/>
      <c r="GY209" s="27"/>
      <c r="GZ209" s="27"/>
      <c r="HA209" s="27"/>
      <c r="HB209" s="27"/>
      <c r="HC209" s="27"/>
      <c r="HD209" s="27"/>
      <c r="HE209" s="27"/>
      <c r="HF209" s="27"/>
      <c r="HG209" s="27"/>
      <c r="HH209" s="27"/>
      <c r="HI209" s="27"/>
      <c r="HJ209" s="27"/>
      <c r="HK209" s="27"/>
      <c r="HL209" s="27"/>
      <c r="HM209" s="27"/>
      <c r="HN209" s="27"/>
      <c r="HO209" s="27"/>
      <c r="HP209" s="27"/>
      <c r="HQ209" s="27"/>
      <c r="HR209" s="27"/>
      <c r="HS209" s="27"/>
      <c r="HT209" s="27"/>
      <c r="HU209" s="27"/>
      <c r="HV209" s="27"/>
      <c r="HW209" s="27"/>
      <c r="HX209" s="27"/>
      <c r="HY209" s="27"/>
      <c r="HZ209" s="27"/>
      <c r="IA209" s="27"/>
      <c r="IB209" s="27"/>
      <c r="IC209" s="27"/>
      <c r="ID209" s="27"/>
      <c r="IE209" s="27"/>
      <c r="IF209" s="27"/>
      <c r="IG209" s="27"/>
      <c r="IH209" s="27"/>
      <c r="II209" s="27"/>
      <c r="IJ209" s="27"/>
      <c r="IK209" s="27"/>
      <c r="IL209" s="27"/>
      <c r="IM209" s="27"/>
      <c r="IN209" s="27"/>
      <c r="IO209" s="27"/>
      <c r="IP209" s="27"/>
      <c r="IQ209" s="27"/>
      <c r="IR209" s="27"/>
    </row>
    <row r="210" spans="1:252" s="7" customFormat="1" ht="36" customHeight="1" x14ac:dyDescent="0.2">
      <c r="A210" s="21" t="s">
        <v>99</v>
      </c>
      <c r="B210" s="22" t="s">
        <v>100</v>
      </c>
      <c r="C210" s="29" t="s">
        <v>199</v>
      </c>
      <c r="D210" s="29" t="s">
        <v>208</v>
      </c>
      <c r="E210" s="28" t="s">
        <v>158</v>
      </c>
      <c r="F210" s="28" t="s">
        <v>209</v>
      </c>
      <c r="G210" s="29" t="s">
        <v>42</v>
      </c>
      <c r="H210" s="29" t="s">
        <v>43</v>
      </c>
      <c r="I210" s="28" t="s">
        <v>44</v>
      </c>
      <c r="J210" s="29" t="s">
        <v>128</v>
      </c>
      <c r="K210" s="61">
        <v>80000</v>
      </c>
      <c r="L210" s="51">
        <v>-80000</v>
      </c>
      <c r="M210" s="51">
        <v>0</v>
      </c>
      <c r="N210" s="51">
        <v>0</v>
      </c>
      <c r="O210" s="51">
        <f t="shared" si="8"/>
        <v>0</v>
      </c>
      <c r="P210" s="51"/>
      <c r="Q210" s="51"/>
      <c r="R210" s="51"/>
      <c r="S210" s="51"/>
      <c r="T210" s="51"/>
      <c r="U210" s="51"/>
      <c r="V210" s="51">
        <v>0</v>
      </c>
      <c r="W210" s="51">
        <v>0</v>
      </c>
      <c r="X210" s="52">
        <v>0</v>
      </c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7"/>
      <c r="GE210" s="27"/>
      <c r="GF210" s="27"/>
      <c r="GG210" s="27"/>
      <c r="GH210" s="27"/>
      <c r="GI210" s="27"/>
      <c r="GJ210" s="27"/>
      <c r="GK210" s="27"/>
      <c r="GL210" s="27"/>
      <c r="GM210" s="27"/>
      <c r="GN210" s="27"/>
      <c r="GO210" s="27"/>
      <c r="GP210" s="27"/>
      <c r="GQ210" s="27"/>
      <c r="GR210" s="27"/>
      <c r="GS210" s="27"/>
      <c r="GT210" s="27"/>
      <c r="GU210" s="27"/>
      <c r="GV210" s="27"/>
      <c r="GW210" s="27"/>
      <c r="GX210" s="27"/>
      <c r="GY210" s="27"/>
      <c r="GZ210" s="27"/>
      <c r="HA210" s="27"/>
      <c r="HB210" s="27"/>
      <c r="HC210" s="27"/>
      <c r="HD210" s="27"/>
      <c r="HE210" s="27"/>
      <c r="HF210" s="27"/>
      <c r="HG210" s="27"/>
      <c r="HH210" s="27"/>
      <c r="HI210" s="27"/>
      <c r="HJ210" s="27"/>
      <c r="HK210" s="27"/>
      <c r="HL210" s="27"/>
      <c r="HM210" s="27"/>
      <c r="HN210" s="27"/>
      <c r="HO210" s="27"/>
      <c r="HP210" s="27"/>
      <c r="HQ210" s="27"/>
      <c r="HR210" s="27"/>
      <c r="HS210" s="27"/>
      <c r="HT210" s="27"/>
      <c r="HU210" s="27"/>
      <c r="HV210" s="27"/>
      <c r="HW210" s="27"/>
      <c r="HX210" s="27"/>
      <c r="HY210" s="27"/>
      <c r="HZ210" s="27"/>
      <c r="IA210" s="27"/>
      <c r="IB210" s="27"/>
      <c r="IC210" s="27"/>
      <c r="ID210" s="27"/>
      <c r="IE210" s="27"/>
      <c r="IF210" s="27"/>
      <c r="IG210" s="27"/>
      <c r="IH210" s="27"/>
      <c r="II210" s="27"/>
      <c r="IJ210" s="27"/>
      <c r="IK210" s="27"/>
      <c r="IL210" s="27"/>
      <c r="IM210" s="27"/>
      <c r="IN210" s="27"/>
      <c r="IO210" s="27"/>
      <c r="IP210" s="27"/>
      <c r="IQ210" s="27"/>
      <c r="IR210" s="27"/>
    </row>
    <row r="211" spans="1:252" s="7" customFormat="1" ht="36" customHeight="1" x14ac:dyDescent="0.2">
      <c r="A211" s="21" t="s">
        <v>99</v>
      </c>
      <c r="B211" s="22" t="s">
        <v>100</v>
      </c>
      <c r="C211" s="29" t="s">
        <v>199</v>
      </c>
      <c r="D211" s="29" t="s">
        <v>208</v>
      </c>
      <c r="E211" s="28" t="s">
        <v>158</v>
      </c>
      <c r="F211" s="28" t="s">
        <v>209</v>
      </c>
      <c r="G211" s="29" t="s">
        <v>42</v>
      </c>
      <c r="H211" s="29" t="s">
        <v>103</v>
      </c>
      <c r="I211" s="28" t="s">
        <v>104</v>
      </c>
      <c r="J211" s="29" t="s">
        <v>51</v>
      </c>
      <c r="K211" s="61">
        <v>2573784</v>
      </c>
      <c r="L211" s="51">
        <v>800000</v>
      </c>
      <c r="M211" s="51">
        <v>0</v>
      </c>
      <c r="N211" s="51">
        <v>0</v>
      </c>
      <c r="O211" s="51">
        <f t="shared" si="8"/>
        <v>3373784</v>
      </c>
      <c r="P211" s="51"/>
      <c r="Q211" s="51"/>
      <c r="R211" s="51"/>
      <c r="S211" s="51"/>
      <c r="T211" s="51"/>
      <c r="U211" s="51"/>
      <c r="V211" s="51">
        <v>2874531.54</v>
      </c>
      <c r="W211" s="51">
        <v>2874531.54</v>
      </c>
      <c r="X211" s="52">
        <v>2791515.45</v>
      </c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7"/>
      <c r="FL211" s="27"/>
      <c r="FM211" s="27"/>
      <c r="FN211" s="27"/>
      <c r="FO211" s="27"/>
      <c r="FP211" s="27"/>
      <c r="FQ211" s="27"/>
      <c r="FR211" s="27"/>
      <c r="FS211" s="27"/>
      <c r="FT211" s="27"/>
      <c r="FU211" s="27"/>
      <c r="FV211" s="27"/>
      <c r="FW211" s="27"/>
      <c r="FX211" s="27"/>
      <c r="FY211" s="27"/>
      <c r="FZ211" s="27"/>
      <c r="GA211" s="27"/>
      <c r="GB211" s="27"/>
      <c r="GC211" s="27"/>
      <c r="GD211" s="27"/>
      <c r="GE211" s="27"/>
      <c r="GF211" s="27"/>
      <c r="GG211" s="27"/>
      <c r="GH211" s="27"/>
      <c r="GI211" s="27"/>
      <c r="GJ211" s="27"/>
      <c r="GK211" s="27"/>
      <c r="GL211" s="27"/>
      <c r="GM211" s="27"/>
      <c r="GN211" s="27"/>
      <c r="GO211" s="27"/>
      <c r="GP211" s="27"/>
      <c r="GQ211" s="27"/>
      <c r="GR211" s="27"/>
      <c r="GS211" s="27"/>
      <c r="GT211" s="27"/>
      <c r="GU211" s="27"/>
      <c r="GV211" s="27"/>
      <c r="GW211" s="27"/>
      <c r="GX211" s="27"/>
      <c r="GY211" s="27"/>
      <c r="GZ211" s="27"/>
      <c r="HA211" s="27"/>
      <c r="HB211" s="27"/>
      <c r="HC211" s="27"/>
      <c r="HD211" s="27"/>
      <c r="HE211" s="27"/>
      <c r="HF211" s="27"/>
      <c r="HG211" s="27"/>
      <c r="HH211" s="27"/>
      <c r="HI211" s="27"/>
      <c r="HJ211" s="27"/>
      <c r="HK211" s="27"/>
      <c r="HL211" s="27"/>
      <c r="HM211" s="27"/>
      <c r="HN211" s="27"/>
      <c r="HO211" s="27"/>
      <c r="HP211" s="27"/>
      <c r="HQ211" s="27"/>
      <c r="HR211" s="27"/>
      <c r="HS211" s="27"/>
      <c r="HT211" s="27"/>
      <c r="HU211" s="27"/>
      <c r="HV211" s="27"/>
      <c r="HW211" s="27"/>
      <c r="HX211" s="27"/>
      <c r="HY211" s="27"/>
      <c r="HZ211" s="27"/>
      <c r="IA211" s="27"/>
      <c r="IB211" s="27"/>
      <c r="IC211" s="27"/>
      <c r="ID211" s="27"/>
      <c r="IE211" s="27"/>
      <c r="IF211" s="27"/>
      <c r="IG211" s="27"/>
      <c r="IH211" s="27"/>
      <c r="II211" s="27"/>
      <c r="IJ211" s="27"/>
      <c r="IK211" s="27"/>
      <c r="IL211" s="27"/>
      <c r="IM211" s="27"/>
      <c r="IN211" s="27"/>
      <c r="IO211" s="27"/>
      <c r="IP211" s="27"/>
      <c r="IQ211" s="27"/>
      <c r="IR211" s="27"/>
    </row>
    <row r="212" spans="1:252" s="7" customFormat="1" ht="36" customHeight="1" x14ac:dyDescent="0.2">
      <c r="A212" s="21" t="s">
        <v>99</v>
      </c>
      <c r="B212" s="22" t="s">
        <v>100</v>
      </c>
      <c r="C212" s="29" t="s">
        <v>199</v>
      </c>
      <c r="D212" s="29" t="s">
        <v>208</v>
      </c>
      <c r="E212" s="28" t="s">
        <v>158</v>
      </c>
      <c r="F212" s="28" t="s">
        <v>209</v>
      </c>
      <c r="G212" s="29" t="s">
        <v>42</v>
      </c>
      <c r="H212" s="62" t="s">
        <v>56</v>
      </c>
      <c r="I212" s="65" t="s">
        <v>57</v>
      </c>
      <c r="J212" s="29" t="s">
        <v>51</v>
      </c>
      <c r="K212" s="61">
        <v>0</v>
      </c>
      <c r="L212" s="51">
        <v>521032</v>
      </c>
      <c r="M212" s="51">
        <v>0</v>
      </c>
      <c r="N212" s="51">
        <v>0</v>
      </c>
      <c r="O212" s="51">
        <f t="shared" si="8"/>
        <v>521032</v>
      </c>
      <c r="P212" s="51"/>
      <c r="Q212" s="51"/>
      <c r="R212" s="51"/>
      <c r="S212" s="51"/>
      <c r="T212" s="51"/>
      <c r="U212" s="51"/>
      <c r="V212" s="51">
        <v>495404.55</v>
      </c>
      <c r="W212" s="51">
        <v>495404.55</v>
      </c>
      <c r="X212" s="52">
        <v>337379</v>
      </c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7"/>
      <c r="GE212" s="27"/>
      <c r="GF212" s="27"/>
      <c r="GG212" s="27"/>
      <c r="GH212" s="27"/>
      <c r="GI212" s="27"/>
      <c r="GJ212" s="27"/>
      <c r="GK212" s="27"/>
      <c r="GL212" s="27"/>
      <c r="GM212" s="27"/>
      <c r="GN212" s="27"/>
      <c r="GO212" s="27"/>
      <c r="GP212" s="27"/>
      <c r="GQ212" s="27"/>
      <c r="GR212" s="27"/>
      <c r="GS212" s="27"/>
      <c r="GT212" s="27"/>
      <c r="GU212" s="27"/>
      <c r="GV212" s="27"/>
      <c r="GW212" s="27"/>
      <c r="GX212" s="27"/>
      <c r="GY212" s="27"/>
      <c r="GZ212" s="27"/>
      <c r="HA212" s="27"/>
      <c r="HB212" s="27"/>
      <c r="HC212" s="27"/>
      <c r="HD212" s="27"/>
      <c r="HE212" s="27"/>
      <c r="HF212" s="27"/>
      <c r="HG212" s="27"/>
      <c r="HH212" s="27"/>
      <c r="HI212" s="27"/>
      <c r="HJ212" s="27"/>
      <c r="HK212" s="27"/>
      <c r="HL212" s="27"/>
      <c r="HM212" s="27"/>
      <c r="HN212" s="27"/>
      <c r="HO212" s="27"/>
      <c r="HP212" s="27"/>
      <c r="HQ212" s="27"/>
      <c r="HR212" s="27"/>
      <c r="HS212" s="27"/>
      <c r="HT212" s="27"/>
      <c r="HU212" s="27"/>
      <c r="HV212" s="27"/>
      <c r="HW212" s="27"/>
      <c r="HX212" s="27"/>
      <c r="HY212" s="27"/>
      <c r="HZ212" s="27"/>
      <c r="IA212" s="27"/>
      <c r="IB212" s="27"/>
      <c r="IC212" s="27"/>
      <c r="ID212" s="27"/>
      <c r="IE212" s="27"/>
      <c r="IF212" s="27"/>
      <c r="IG212" s="27"/>
      <c r="IH212" s="27"/>
      <c r="II212" s="27"/>
      <c r="IJ212" s="27"/>
      <c r="IK212" s="27"/>
      <c r="IL212" s="27"/>
      <c r="IM212" s="27"/>
      <c r="IN212" s="27"/>
      <c r="IO212" s="27"/>
      <c r="IP212" s="27"/>
      <c r="IQ212" s="27"/>
      <c r="IR212" s="27"/>
    </row>
    <row r="213" spans="1:252" s="7" customFormat="1" ht="36" customHeight="1" x14ac:dyDescent="0.2">
      <c r="A213" s="21" t="s">
        <v>99</v>
      </c>
      <c r="B213" s="22" t="s">
        <v>100</v>
      </c>
      <c r="C213" s="29" t="s">
        <v>199</v>
      </c>
      <c r="D213" s="29" t="s">
        <v>208</v>
      </c>
      <c r="E213" s="28" t="s">
        <v>158</v>
      </c>
      <c r="F213" s="28" t="s">
        <v>209</v>
      </c>
      <c r="G213" s="29" t="s">
        <v>42</v>
      </c>
      <c r="H213" s="62" t="s">
        <v>136</v>
      </c>
      <c r="I213" s="63" t="s">
        <v>137</v>
      </c>
      <c r="J213" s="29" t="s">
        <v>51</v>
      </c>
      <c r="K213" s="61">
        <v>0</v>
      </c>
      <c r="L213" s="51">
        <v>86839</v>
      </c>
      <c r="M213" s="51">
        <v>0</v>
      </c>
      <c r="N213" s="51">
        <v>0</v>
      </c>
      <c r="O213" s="51">
        <f t="shared" si="8"/>
        <v>86839</v>
      </c>
      <c r="P213" s="51"/>
      <c r="Q213" s="51"/>
      <c r="R213" s="51"/>
      <c r="S213" s="51"/>
      <c r="T213" s="51"/>
      <c r="U213" s="51"/>
      <c r="V213" s="51">
        <v>75522</v>
      </c>
      <c r="W213" s="51">
        <v>75522</v>
      </c>
      <c r="X213" s="52">
        <v>3625.05</v>
      </c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7"/>
      <c r="GE213" s="27"/>
      <c r="GF213" s="27"/>
      <c r="GG213" s="27"/>
      <c r="GH213" s="27"/>
      <c r="GI213" s="27"/>
      <c r="GJ213" s="27"/>
      <c r="GK213" s="27"/>
      <c r="GL213" s="27"/>
      <c r="GM213" s="27"/>
      <c r="GN213" s="27"/>
      <c r="GO213" s="27"/>
      <c r="GP213" s="27"/>
      <c r="GQ213" s="27"/>
      <c r="GR213" s="27"/>
      <c r="GS213" s="27"/>
      <c r="GT213" s="27"/>
      <c r="GU213" s="27"/>
      <c r="GV213" s="27"/>
      <c r="GW213" s="27"/>
      <c r="GX213" s="27"/>
      <c r="GY213" s="27"/>
      <c r="GZ213" s="27"/>
      <c r="HA213" s="27"/>
      <c r="HB213" s="27"/>
      <c r="HC213" s="27"/>
      <c r="HD213" s="27"/>
      <c r="HE213" s="27"/>
      <c r="HF213" s="27"/>
      <c r="HG213" s="27"/>
      <c r="HH213" s="27"/>
      <c r="HI213" s="27"/>
      <c r="HJ213" s="27"/>
      <c r="HK213" s="27"/>
      <c r="HL213" s="27"/>
      <c r="HM213" s="27"/>
      <c r="HN213" s="27"/>
      <c r="HO213" s="27"/>
      <c r="HP213" s="27"/>
      <c r="HQ213" s="27"/>
      <c r="HR213" s="27"/>
      <c r="HS213" s="27"/>
      <c r="HT213" s="27"/>
      <c r="HU213" s="27"/>
      <c r="HV213" s="27"/>
      <c r="HW213" s="27"/>
      <c r="HX213" s="27"/>
      <c r="HY213" s="27"/>
      <c r="HZ213" s="27"/>
      <c r="IA213" s="27"/>
      <c r="IB213" s="27"/>
      <c r="IC213" s="27"/>
      <c r="ID213" s="27"/>
      <c r="IE213" s="27"/>
      <c r="IF213" s="27"/>
      <c r="IG213" s="27"/>
      <c r="IH213" s="27"/>
      <c r="II213" s="27"/>
      <c r="IJ213" s="27"/>
      <c r="IK213" s="27"/>
      <c r="IL213" s="27"/>
      <c r="IM213" s="27"/>
      <c r="IN213" s="27"/>
      <c r="IO213" s="27"/>
      <c r="IP213" s="27"/>
      <c r="IQ213" s="27"/>
      <c r="IR213" s="27"/>
    </row>
    <row r="214" spans="1:252" s="7" customFormat="1" ht="36" customHeight="1" x14ac:dyDescent="0.2">
      <c r="A214" s="21" t="s">
        <v>99</v>
      </c>
      <c r="B214" s="22" t="s">
        <v>100</v>
      </c>
      <c r="C214" s="29" t="s">
        <v>199</v>
      </c>
      <c r="D214" s="29" t="s">
        <v>208</v>
      </c>
      <c r="E214" s="28" t="s">
        <v>158</v>
      </c>
      <c r="F214" s="28" t="s">
        <v>209</v>
      </c>
      <c r="G214" s="29" t="s">
        <v>42</v>
      </c>
      <c r="H214" s="62" t="s">
        <v>136</v>
      </c>
      <c r="I214" s="63" t="s">
        <v>137</v>
      </c>
      <c r="J214" s="29" t="s">
        <v>128</v>
      </c>
      <c r="K214" s="61">
        <v>0</v>
      </c>
      <c r="L214" s="51">
        <f>100000-100000</f>
        <v>0</v>
      </c>
      <c r="M214" s="51">
        <v>0</v>
      </c>
      <c r="N214" s="51">
        <v>0</v>
      </c>
      <c r="O214" s="51">
        <f t="shared" si="8"/>
        <v>0</v>
      </c>
      <c r="P214" s="51"/>
      <c r="Q214" s="51"/>
      <c r="R214" s="51"/>
      <c r="S214" s="51"/>
      <c r="T214" s="51"/>
      <c r="U214" s="51"/>
      <c r="V214" s="51">
        <v>0</v>
      </c>
      <c r="W214" s="51">
        <v>0</v>
      </c>
      <c r="X214" s="52">
        <v>0</v>
      </c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7"/>
      <c r="FL214" s="27"/>
      <c r="FM214" s="27"/>
      <c r="FN214" s="27"/>
      <c r="FO214" s="27"/>
      <c r="FP214" s="27"/>
      <c r="FQ214" s="27"/>
      <c r="FR214" s="27"/>
      <c r="FS214" s="27"/>
      <c r="FT214" s="27"/>
      <c r="FU214" s="27"/>
      <c r="FV214" s="27"/>
      <c r="FW214" s="27"/>
      <c r="FX214" s="27"/>
      <c r="FY214" s="27"/>
      <c r="FZ214" s="27"/>
      <c r="GA214" s="27"/>
      <c r="GB214" s="27"/>
      <c r="GC214" s="27"/>
      <c r="GD214" s="27"/>
      <c r="GE214" s="27"/>
      <c r="GF214" s="27"/>
      <c r="GG214" s="27"/>
      <c r="GH214" s="27"/>
      <c r="GI214" s="27"/>
      <c r="GJ214" s="27"/>
      <c r="GK214" s="27"/>
      <c r="GL214" s="27"/>
      <c r="GM214" s="27"/>
      <c r="GN214" s="27"/>
      <c r="GO214" s="27"/>
      <c r="GP214" s="27"/>
      <c r="GQ214" s="27"/>
      <c r="GR214" s="27"/>
      <c r="GS214" s="27"/>
      <c r="GT214" s="27"/>
      <c r="GU214" s="27"/>
      <c r="GV214" s="27"/>
      <c r="GW214" s="27"/>
      <c r="GX214" s="27"/>
      <c r="GY214" s="27"/>
      <c r="GZ214" s="27"/>
      <c r="HA214" s="27"/>
      <c r="HB214" s="27"/>
      <c r="HC214" s="27"/>
      <c r="HD214" s="27"/>
      <c r="HE214" s="27"/>
      <c r="HF214" s="27"/>
      <c r="HG214" s="27"/>
      <c r="HH214" s="27"/>
      <c r="HI214" s="27"/>
      <c r="HJ214" s="27"/>
      <c r="HK214" s="27"/>
      <c r="HL214" s="27"/>
      <c r="HM214" s="27"/>
      <c r="HN214" s="27"/>
      <c r="HO214" s="27"/>
      <c r="HP214" s="27"/>
      <c r="HQ214" s="27"/>
      <c r="HR214" s="27"/>
      <c r="HS214" s="27"/>
      <c r="HT214" s="27"/>
      <c r="HU214" s="27"/>
      <c r="HV214" s="27"/>
      <c r="HW214" s="27"/>
      <c r="HX214" s="27"/>
      <c r="HY214" s="27"/>
      <c r="HZ214" s="27"/>
      <c r="IA214" s="27"/>
      <c r="IB214" s="27"/>
      <c r="IC214" s="27"/>
      <c r="ID214" s="27"/>
      <c r="IE214" s="27"/>
      <c r="IF214" s="27"/>
      <c r="IG214" s="27"/>
      <c r="IH214" s="27"/>
      <c r="II214" s="27"/>
      <c r="IJ214" s="27"/>
      <c r="IK214" s="27"/>
      <c r="IL214" s="27"/>
      <c r="IM214" s="27"/>
      <c r="IN214" s="27"/>
      <c r="IO214" s="27"/>
      <c r="IP214" s="27"/>
      <c r="IQ214" s="27"/>
      <c r="IR214" s="27"/>
    </row>
    <row r="215" spans="1:252" s="7" customFormat="1" ht="36" customHeight="1" x14ac:dyDescent="0.2">
      <c r="A215" s="21" t="s">
        <v>99</v>
      </c>
      <c r="B215" s="22" t="s">
        <v>100</v>
      </c>
      <c r="C215" s="29" t="s">
        <v>210</v>
      </c>
      <c r="D215" s="29" t="s">
        <v>211</v>
      </c>
      <c r="E215" s="28" t="s">
        <v>153</v>
      </c>
      <c r="F215" s="28" t="s">
        <v>212</v>
      </c>
      <c r="G215" s="29" t="s">
        <v>42</v>
      </c>
      <c r="H215" s="29" t="s">
        <v>103</v>
      </c>
      <c r="I215" s="28" t="s">
        <v>104</v>
      </c>
      <c r="J215" s="29" t="s">
        <v>51</v>
      </c>
      <c r="K215" s="61">
        <v>470000</v>
      </c>
      <c r="L215" s="51">
        <v>0</v>
      </c>
      <c r="M215" s="51">
        <v>0</v>
      </c>
      <c r="N215" s="51">
        <v>-35000</v>
      </c>
      <c r="O215" s="51">
        <f t="shared" si="8"/>
        <v>435000</v>
      </c>
      <c r="P215" s="51">
        <v>346258.1</v>
      </c>
      <c r="Q215" s="51">
        <v>346258.1</v>
      </c>
      <c r="R215" s="51">
        <v>346258.1</v>
      </c>
      <c r="S215" s="51"/>
      <c r="T215" s="51"/>
      <c r="U215" s="51"/>
      <c r="V215" s="51"/>
      <c r="W215" s="51"/>
      <c r="X215" s="52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  <c r="GF215" s="27"/>
      <c r="GG215" s="27"/>
      <c r="GH215" s="27"/>
      <c r="GI215" s="27"/>
      <c r="GJ215" s="27"/>
      <c r="GK215" s="27"/>
      <c r="GL215" s="27"/>
      <c r="GM215" s="27"/>
      <c r="GN215" s="27"/>
      <c r="GO215" s="27"/>
      <c r="GP215" s="27"/>
      <c r="GQ215" s="27"/>
      <c r="GR215" s="27"/>
      <c r="GS215" s="27"/>
      <c r="GT215" s="27"/>
      <c r="GU215" s="27"/>
      <c r="GV215" s="27"/>
      <c r="GW215" s="27"/>
      <c r="GX215" s="27"/>
      <c r="GY215" s="27"/>
      <c r="GZ215" s="27"/>
      <c r="HA215" s="27"/>
      <c r="HB215" s="27"/>
      <c r="HC215" s="27"/>
      <c r="HD215" s="27"/>
      <c r="HE215" s="27"/>
      <c r="HF215" s="27"/>
      <c r="HG215" s="27"/>
      <c r="HH215" s="27"/>
      <c r="HI215" s="27"/>
      <c r="HJ215" s="27"/>
      <c r="HK215" s="27"/>
      <c r="HL215" s="27"/>
      <c r="HM215" s="27"/>
      <c r="HN215" s="27"/>
      <c r="HO215" s="27"/>
      <c r="HP215" s="27"/>
      <c r="HQ215" s="27"/>
      <c r="HR215" s="27"/>
      <c r="HS215" s="27"/>
      <c r="HT215" s="27"/>
      <c r="HU215" s="27"/>
      <c r="HV215" s="27"/>
      <c r="HW215" s="27"/>
      <c r="HX215" s="27"/>
      <c r="HY215" s="27"/>
      <c r="HZ215" s="27"/>
      <c r="IA215" s="27"/>
      <c r="IB215" s="27"/>
      <c r="IC215" s="27"/>
      <c r="ID215" s="27"/>
      <c r="IE215" s="27"/>
      <c r="IF215" s="27"/>
      <c r="IG215" s="27"/>
      <c r="IH215" s="27"/>
      <c r="II215" s="27"/>
      <c r="IJ215" s="27"/>
      <c r="IK215" s="27"/>
      <c r="IL215" s="27"/>
      <c r="IM215" s="27"/>
      <c r="IN215" s="27"/>
      <c r="IO215" s="27"/>
      <c r="IP215" s="27"/>
      <c r="IQ215" s="27"/>
      <c r="IR215" s="27"/>
    </row>
    <row r="216" spans="1:252" s="7" customFormat="1" ht="36" customHeight="1" x14ac:dyDescent="0.2">
      <c r="A216" s="21" t="s">
        <v>99</v>
      </c>
      <c r="B216" s="22" t="s">
        <v>100</v>
      </c>
      <c r="C216" s="29" t="s">
        <v>210</v>
      </c>
      <c r="D216" s="29" t="s">
        <v>211</v>
      </c>
      <c r="E216" s="28" t="s">
        <v>153</v>
      </c>
      <c r="F216" s="28" t="s">
        <v>212</v>
      </c>
      <c r="G216" s="29" t="s">
        <v>42</v>
      </c>
      <c r="H216" s="62" t="s">
        <v>136</v>
      </c>
      <c r="I216" s="63" t="s">
        <v>137</v>
      </c>
      <c r="J216" s="29" t="s">
        <v>51</v>
      </c>
      <c r="K216" s="61">
        <v>0</v>
      </c>
      <c r="L216" s="51">
        <f>300000-300000</f>
        <v>0</v>
      </c>
      <c r="M216" s="51">
        <v>0</v>
      </c>
      <c r="N216" s="51">
        <v>0</v>
      </c>
      <c r="O216" s="51">
        <f t="shared" si="8"/>
        <v>0</v>
      </c>
      <c r="P216" s="51">
        <v>0</v>
      </c>
      <c r="Q216" s="51">
        <v>0</v>
      </c>
      <c r="R216" s="51">
        <v>0</v>
      </c>
      <c r="S216" s="51"/>
      <c r="T216" s="51"/>
      <c r="U216" s="51"/>
      <c r="V216" s="51"/>
      <c r="W216" s="51"/>
      <c r="X216" s="52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  <c r="FJ216" s="27"/>
      <c r="FK216" s="27"/>
      <c r="FL216" s="27"/>
      <c r="FM216" s="27"/>
      <c r="FN216" s="27"/>
      <c r="FO216" s="27"/>
      <c r="FP216" s="27"/>
      <c r="FQ216" s="27"/>
      <c r="FR216" s="27"/>
      <c r="FS216" s="27"/>
      <c r="FT216" s="27"/>
      <c r="FU216" s="27"/>
      <c r="FV216" s="27"/>
      <c r="FW216" s="27"/>
      <c r="FX216" s="27"/>
      <c r="FY216" s="27"/>
      <c r="FZ216" s="27"/>
      <c r="GA216" s="27"/>
      <c r="GB216" s="27"/>
      <c r="GC216" s="27"/>
      <c r="GD216" s="27"/>
      <c r="GE216" s="27"/>
      <c r="GF216" s="27"/>
      <c r="GG216" s="27"/>
      <c r="GH216" s="27"/>
      <c r="GI216" s="27"/>
      <c r="GJ216" s="27"/>
      <c r="GK216" s="27"/>
      <c r="GL216" s="27"/>
      <c r="GM216" s="27"/>
      <c r="GN216" s="27"/>
      <c r="GO216" s="27"/>
      <c r="GP216" s="27"/>
      <c r="GQ216" s="27"/>
      <c r="GR216" s="27"/>
      <c r="GS216" s="27"/>
      <c r="GT216" s="27"/>
      <c r="GU216" s="27"/>
      <c r="GV216" s="27"/>
      <c r="GW216" s="27"/>
      <c r="GX216" s="27"/>
      <c r="GY216" s="27"/>
      <c r="GZ216" s="27"/>
      <c r="HA216" s="27"/>
      <c r="HB216" s="27"/>
      <c r="HC216" s="27"/>
      <c r="HD216" s="27"/>
      <c r="HE216" s="27"/>
      <c r="HF216" s="27"/>
      <c r="HG216" s="27"/>
      <c r="HH216" s="27"/>
      <c r="HI216" s="27"/>
      <c r="HJ216" s="27"/>
      <c r="HK216" s="27"/>
      <c r="HL216" s="27"/>
      <c r="HM216" s="27"/>
      <c r="HN216" s="27"/>
      <c r="HO216" s="27"/>
      <c r="HP216" s="27"/>
      <c r="HQ216" s="27"/>
      <c r="HR216" s="27"/>
      <c r="HS216" s="27"/>
      <c r="HT216" s="27"/>
      <c r="HU216" s="27"/>
      <c r="HV216" s="27"/>
      <c r="HW216" s="27"/>
      <c r="HX216" s="27"/>
      <c r="HY216" s="27"/>
      <c r="HZ216" s="27"/>
      <c r="IA216" s="27"/>
      <c r="IB216" s="27"/>
      <c r="IC216" s="27"/>
      <c r="ID216" s="27"/>
      <c r="IE216" s="27"/>
      <c r="IF216" s="27"/>
      <c r="IG216" s="27"/>
      <c r="IH216" s="27"/>
      <c r="II216" s="27"/>
      <c r="IJ216" s="27"/>
      <c r="IK216" s="27"/>
      <c r="IL216" s="27"/>
      <c r="IM216" s="27"/>
      <c r="IN216" s="27"/>
      <c r="IO216" s="27"/>
      <c r="IP216" s="27"/>
      <c r="IQ216" s="27"/>
      <c r="IR216" s="27"/>
    </row>
    <row r="217" spans="1:252" s="7" customFormat="1" ht="36" customHeight="1" x14ac:dyDescent="0.2">
      <c r="A217" s="21" t="s">
        <v>99</v>
      </c>
      <c r="B217" s="22" t="s">
        <v>100</v>
      </c>
      <c r="C217" s="29" t="s">
        <v>210</v>
      </c>
      <c r="D217" s="29" t="s">
        <v>213</v>
      </c>
      <c r="E217" s="28" t="s">
        <v>153</v>
      </c>
      <c r="F217" s="28" t="s">
        <v>214</v>
      </c>
      <c r="G217" s="29" t="s">
        <v>42</v>
      </c>
      <c r="H217" s="29" t="s">
        <v>103</v>
      </c>
      <c r="I217" s="28" t="s">
        <v>104</v>
      </c>
      <c r="J217" s="29" t="s">
        <v>51</v>
      </c>
      <c r="K217" s="61">
        <v>30000</v>
      </c>
      <c r="L217" s="51">
        <f t="shared" ref="L217:L218" si="9">300000-300000</f>
        <v>0</v>
      </c>
      <c r="M217" s="51">
        <v>0</v>
      </c>
      <c r="N217" s="51">
        <v>0</v>
      </c>
      <c r="O217" s="51">
        <f t="shared" si="8"/>
        <v>30000</v>
      </c>
      <c r="P217" s="51"/>
      <c r="Q217" s="51"/>
      <c r="R217" s="51"/>
      <c r="S217" s="51">
        <v>398.95</v>
      </c>
      <c r="T217" s="51">
        <v>398.95</v>
      </c>
      <c r="U217" s="51">
        <v>398.95</v>
      </c>
      <c r="V217" s="51"/>
      <c r="W217" s="51"/>
      <c r="X217" s="52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  <c r="FP217" s="27"/>
      <c r="FQ217" s="27"/>
      <c r="FR217" s="27"/>
      <c r="FS217" s="27"/>
      <c r="FT217" s="27"/>
      <c r="FU217" s="27"/>
      <c r="FV217" s="27"/>
      <c r="FW217" s="27"/>
      <c r="FX217" s="27"/>
      <c r="FY217" s="27"/>
      <c r="FZ217" s="27"/>
      <c r="GA217" s="27"/>
      <c r="GB217" s="27"/>
      <c r="GC217" s="27"/>
      <c r="GD217" s="27"/>
      <c r="GE217" s="27"/>
      <c r="GF217" s="27"/>
      <c r="GG217" s="27"/>
      <c r="GH217" s="27"/>
      <c r="GI217" s="27"/>
      <c r="GJ217" s="27"/>
      <c r="GK217" s="27"/>
      <c r="GL217" s="27"/>
      <c r="GM217" s="27"/>
      <c r="GN217" s="27"/>
      <c r="GO217" s="27"/>
      <c r="GP217" s="27"/>
      <c r="GQ217" s="27"/>
      <c r="GR217" s="27"/>
      <c r="GS217" s="27"/>
      <c r="GT217" s="27"/>
      <c r="GU217" s="27"/>
      <c r="GV217" s="27"/>
      <c r="GW217" s="27"/>
      <c r="GX217" s="27"/>
      <c r="GY217" s="27"/>
      <c r="GZ217" s="27"/>
      <c r="HA217" s="27"/>
      <c r="HB217" s="27"/>
      <c r="HC217" s="27"/>
      <c r="HD217" s="27"/>
      <c r="HE217" s="27"/>
      <c r="HF217" s="27"/>
      <c r="HG217" s="27"/>
      <c r="HH217" s="27"/>
      <c r="HI217" s="27"/>
      <c r="HJ217" s="27"/>
      <c r="HK217" s="27"/>
      <c r="HL217" s="27"/>
      <c r="HM217" s="27"/>
      <c r="HN217" s="27"/>
      <c r="HO217" s="27"/>
      <c r="HP217" s="27"/>
      <c r="HQ217" s="27"/>
      <c r="HR217" s="27"/>
      <c r="HS217" s="27"/>
      <c r="HT217" s="27"/>
      <c r="HU217" s="27"/>
      <c r="HV217" s="27"/>
      <c r="HW217" s="27"/>
      <c r="HX217" s="27"/>
      <c r="HY217" s="27"/>
      <c r="HZ217" s="27"/>
      <c r="IA217" s="27"/>
      <c r="IB217" s="27"/>
      <c r="IC217" s="27"/>
      <c r="ID217" s="27"/>
      <c r="IE217" s="27"/>
      <c r="IF217" s="27"/>
      <c r="IG217" s="27"/>
      <c r="IH217" s="27"/>
      <c r="II217" s="27"/>
      <c r="IJ217" s="27"/>
      <c r="IK217" s="27"/>
      <c r="IL217" s="27"/>
      <c r="IM217" s="27"/>
      <c r="IN217" s="27"/>
      <c r="IO217" s="27"/>
      <c r="IP217" s="27"/>
      <c r="IQ217" s="27"/>
      <c r="IR217" s="27"/>
    </row>
    <row r="218" spans="1:252" s="7" customFormat="1" ht="36" customHeight="1" x14ac:dyDescent="0.2">
      <c r="A218" s="21" t="s">
        <v>99</v>
      </c>
      <c r="B218" s="22" t="s">
        <v>100</v>
      </c>
      <c r="C218" s="29" t="s">
        <v>210</v>
      </c>
      <c r="D218" s="29" t="s">
        <v>215</v>
      </c>
      <c r="E218" s="28" t="s">
        <v>153</v>
      </c>
      <c r="F218" s="28" t="s">
        <v>216</v>
      </c>
      <c r="G218" s="29" t="s">
        <v>42</v>
      </c>
      <c r="H218" s="29" t="s">
        <v>103</v>
      </c>
      <c r="I218" s="28" t="s">
        <v>104</v>
      </c>
      <c r="J218" s="29" t="s">
        <v>51</v>
      </c>
      <c r="K218" s="61">
        <v>55000</v>
      </c>
      <c r="L218" s="51">
        <f t="shared" si="9"/>
        <v>0</v>
      </c>
      <c r="M218" s="51">
        <v>0</v>
      </c>
      <c r="N218" s="51">
        <v>0</v>
      </c>
      <c r="O218" s="51">
        <f t="shared" si="8"/>
        <v>55000</v>
      </c>
      <c r="P218" s="51"/>
      <c r="Q218" s="51"/>
      <c r="R218" s="51"/>
      <c r="S218" s="51"/>
      <c r="T218" s="51"/>
      <c r="U218" s="51"/>
      <c r="V218" s="51">
        <v>26802.17</v>
      </c>
      <c r="W218" s="51">
        <v>26802.17</v>
      </c>
      <c r="X218" s="52">
        <v>26802.17</v>
      </c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  <c r="FJ218" s="27"/>
      <c r="FK218" s="27"/>
      <c r="FL218" s="27"/>
      <c r="FM218" s="27"/>
      <c r="FN218" s="27"/>
      <c r="FO218" s="27"/>
      <c r="FP218" s="27"/>
      <c r="FQ218" s="27"/>
      <c r="FR218" s="27"/>
      <c r="FS218" s="27"/>
      <c r="FT218" s="27"/>
      <c r="FU218" s="27"/>
      <c r="FV218" s="27"/>
      <c r="FW218" s="27"/>
      <c r="FX218" s="27"/>
      <c r="FY218" s="27"/>
      <c r="FZ218" s="27"/>
      <c r="GA218" s="27"/>
      <c r="GB218" s="27"/>
      <c r="GC218" s="27"/>
      <c r="GD218" s="27"/>
      <c r="GE218" s="27"/>
      <c r="GF218" s="27"/>
      <c r="GG218" s="27"/>
      <c r="GH218" s="27"/>
      <c r="GI218" s="27"/>
      <c r="GJ218" s="27"/>
      <c r="GK218" s="27"/>
      <c r="GL218" s="27"/>
      <c r="GM218" s="27"/>
      <c r="GN218" s="27"/>
      <c r="GO218" s="27"/>
      <c r="GP218" s="27"/>
      <c r="GQ218" s="27"/>
      <c r="GR218" s="27"/>
      <c r="GS218" s="27"/>
      <c r="GT218" s="27"/>
      <c r="GU218" s="27"/>
      <c r="GV218" s="27"/>
      <c r="GW218" s="27"/>
      <c r="GX218" s="27"/>
      <c r="GY218" s="27"/>
      <c r="GZ218" s="27"/>
      <c r="HA218" s="27"/>
      <c r="HB218" s="27"/>
      <c r="HC218" s="27"/>
      <c r="HD218" s="27"/>
      <c r="HE218" s="27"/>
      <c r="HF218" s="27"/>
      <c r="HG218" s="27"/>
      <c r="HH218" s="27"/>
      <c r="HI218" s="27"/>
      <c r="HJ218" s="27"/>
      <c r="HK218" s="27"/>
      <c r="HL218" s="27"/>
      <c r="HM218" s="27"/>
      <c r="HN218" s="27"/>
      <c r="HO218" s="27"/>
      <c r="HP218" s="27"/>
      <c r="HQ218" s="27"/>
      <c r="HR218" s="27"/>
      <c r="HS218" s="27"/>
      <c r="HT218" s="27"/>
      <c r="HU218" s="27"/>
      <c r="HV218" s="27"/>
      <c r="HW218" s="27"/>
      <c r="HX218" s="27"/>
      <c r="HY218" s="27"/>
      <c r="HZ218" s="27"/>
      <c r="IA218" s="27"/>
      <c r="IB218" s="27"/>
      <c r="IC218" s="27"/>
      <c r="ID218" s="27"/>
      <c r="IE218" s="27"/>
      <c r="IF218" s="27"/>
      <c r="IG218" s="27"/>
      <c r="IH218" s="27"/>
      <c r="II218" s="27"/>
      <c r="IJ218" s="27"/>
      <c r="IK218" s="27"/>
      <c r="IL218" s="27"/>
      <c r="IM218" s="27"/>
      <c r="IN218" s="27"/>
      <c r="IO218" s="27"/>
      <c r="IP218" s="27"/>
      <c r="IQ218" s="27"/>
      <c r="IR218" s="27"/>
    </row>
    <row r="219" spans="1:252" s="7" customFormat="1" ht="36" customHeight="1" x14ac:dyDescent="0.2">
      <c r="A219" s="21" t="s">
        <v>99</v>
      </c>
      <c r="B219" s="22" t="s">
        <v>100</v>
      </c>
      <c r="C219" s="29" t="s">
        <v>210</v>
      </c>
      <c r="D219" s="29" t="s">
        <v>217</v>
      </c>
      <c r="E219" s="28" t="s">
        <v>153</v>
      </c>
      <c r="F219" s="28" t="s">
        <v>218</v>
      </c>
      <c r="G219" s="29" t="s">
        <v>42</v>
      </c>
      <c r="H219" s="29" t="s">
        <v>43</v>
      </c>
      <c r="I219" s="28" t="s">
        <v>44</v>
      </c>
      <c r="J219" s="29" t="s">
        <v>51</v>
      </c>
      <c r="K219" s="61">
        <v>0</v>
      </c>
      <c r="L219" s="51">
        <f>16000-16000</f>
        <v>0</v>
      </c>
      <c r="M219" s="51">
        <v>0</v>
      </c>
      <c r="N219" s="51">
        <v>0</v>
      </c>
      <c r="O219" s="51">
        <f t="shared" si="8"/>
        <v>0</v>
      </c>
      <c r="P219" s="51">
        <v>0</v>
      </c>
      <c r="Q219" s="51">
        <v>0</v>
      </c>
      <c r="R219" s="51">
        <v>0</v>
      </c>
      <c r="S219" s="51"/>
      <c r="T219" s="51"/>
      <c r="U219" s="51"/>
      <c r="V219" s="51"/>
      <c r="W219" s="51"/>
      <c r="X219" s="52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  <c r="FJ219" s="27"/>
      <c r="FK219" s="27"/>
      <c r="FL219" s="27"/>
      <c r="FM219" s="27"/>
      <c r="FN219" s="27"/>
      <c r="FO219" s="27"/>
      <c r="FP219" s="27"/>
      <c r="FQ219" s="27"/>
      <c r="FR219" s="27"/>
      <c r="FS219" s="27"/>
      <c r="FT219" s="27"/>
      <c r="FU219" s="27"/>
      <c r="FV219" s="27"/>
      <c r="FW219" s="27"/>
      <c r="FX219" s="27"/>
      <c r="FY219" s="27"/>
      <c r="FZ219" s="27"/>
      <c r="GA219" s="27"/>
      <c r="GB219" s="27"/>
      <c r="GC219" s="27"/>
      <c r="GD219" s="27"/>
      <c r="GE219" s="27"/>
      <c r="GF219" s="27"/>
      <c r="GG219" s="27"/>
      <c r="GH219" s="27"/>
      <c r="GI219" s="27"/>
      <c r="GJ219" s="27"/>
      <c r="GK219" s="27"/>
      <c r="GL219" s="27"/>
      <c r="GM219" s="27"/>
      <c r="GN219" s="27"/>
      <c r="GO219" s="27"/>
      <c r="GP219" s="27"/>
      <c r="GQ219" s="27"/>
      <c r="GR219" s="27"/>
      <c r="GS219" s="27"/>
      <c r="GT219" s="27"/>
      <c r="GU219" s="27"/>
      <c r="GV219" s="27"/>
      <c r="GW219" s="27"/>
      <c r="GX219" s="27"/>
      <c r="GY219" s="27"/>
      <c r="GZ219" s="27"/>
      <c r="HA219" s="27"/>
      <c r="HB219" s="27"/>
      <c r="HC219" s="27"/>
      <c r="HD219" s="27"/>
      <c r="HE219" s="27"/>
      <c r="HF219" s="27"/>
      <c r="HG219" s="27"/>
      <c r="HH219" s="27"/>
      <c r="HI219" s="27"/>
      <c r="HJ219" s="27"/>
      <c r="HK219" s="27"/>
      <c r="HL219" s="27"/>
      <c r="HM219" s="27"/>
      <c r="HN219" s="27"/>
      <c r="HO219" s="27"/>
      <c r="HP219" s="27"/>
      <c r="HQ219" s="27"/>
      <c r="HR219" s="27"/>
      <c r="HS219" s="27"/>
      <c r="HT219" s="27"/>
      <c r="HU219" s="27"/>
      <c r="HV219" s="27"/>
      <c r="HW219" s="27"/>
      <c r="HX219" s="27"/>
      <c r="HY219" s="27"/>
      <c r="HZ219" s="27"/>
      <c r="IA219" s="27"/>
      <c r="IB219" s="27"/>
      <c r="IC219" s="27"/>
      <c r="ID219" s="27"/>
      <c r="IE219" s="27"/>
      <c r="IF219" s="27"/>
      <c r="IG219" s="27"/>
      <c r="IH219" s="27"/>
      <c r="II219" s="27"/>
      <c r="IJ219" s="27"/>
      <c r="IK219" s="27"/>
      <c r="IL219" s="27"/>
      <c r="IM219" s="27"/>
      <c r="IN219" s="27"/>
      <c r="IO219" s="27"/>
      <c r="IP219" s="27"/>
      <c r="IQ219" s="27"/>
      <c r="IR219" s="27"/>
    </row>
    <row r="220" spans="1:252" s="7" customFormat="1" ht="36" customHeight="1" x14ac:dyDescent="0.2">
      <c r="A220" s="21" t="s">
        <v>99</v>
      </c>
      <c r="B220" s="22" t="s">
        <v>100</v>
      </c>
      <c r="C220" s="29" t="s">
        <v>210</v>
      </c>
      <c r="D220" s="29" t="s">
        <v>217</v>
      </c>
      <c r="E220" s="28" t="s">
        <v>153</v>
      </c>
      <c r="F220" s="28" t="s">
        <v>218</v>
      </c>
      <c r="G220" s="29" t="s">
        <v>42</v>
      </c>
      <c r="H220" s="29" t="s">
        <v>103</v>
      </c>
      <c r="I220" s="28" t="s">
        <v>104</v>
      </c>
      <c r="J220" s="29" t="s">
        <v>51</v>
      </c>
      <c r="K220" s="61">
        <v>419367</v>
      </c>
      <c r="L220" s="51">
        <v>0</v>
      </c>
      <c r="M220" s="51">
        <v>0</v>
      </c>
      <c r="N220" s="51">
        <v>-93312</v>
      </c>
      <c r="O220" s="51">
        <f t="shared" si="8"/>
        <v>326055</v>
      </c>
      <c r="P220" s="51">
        <v>172073.85</v>
      </c>
      <c r="Q220" s="51">
        <v>172073.85</v>
      </c>
      <c r="R220" s="51">
        <v>172073.85</v>
      </c>
      <c r="S220" s="51"/>
      <c r="T220" s="51"/>
      <c r="U220" s="51"/>
      <c r="V220" s="51"/>
      <c r="W220" s="51"/>
      <c r="X220" s="52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  <c r="FJ220" s="27"/>
      <c r="FK220" s="27"/>
      <c r="FL220" s="27"/>
      <c r="FM220" s="27"/>
      <c r="FN220" s="27"/>
      <c r="FO220" s="27"/>
      <c r="FP220" s="27"/>
      <c r="FQ220" s="27"/>
      <c r="FR220" s="27"/>
      <c r="FS220" s="27"/>
      <c r="FT220" s="27"/>
      <c r="FU220" s="27"/>
      <c r="FV220" s="27"/>
      <c r="FW220" s="27"/>
      <c r="FX220" s="27"/>
      <c r="FY220" s="27"/>
      <c r="FZ220" s="27"/>
      <c r="GA220" s="27"/>
      <c r="GB220" s="27"/>
      <c r="GC220" s="27"/>
      <c r="GD220" s="27"/>
      <c r="GE220" s="27"/>
      <c r="GF220" s="27"/>
      <c r="GG220" s="27"/>
      <c r="GH220" s="27"/>
      <c r="GI220" s="27"/>
      <c r="GJ220" s="27"/>
      <c r="GK220" s="27"/>
      <c r="GL220" s="27"/>
      <c r="GM220" s="27"/>
      <c r="GN220" s="27"/>
      <c r="GO220" s="27"/>
      <c r="GP220" s="27"/>
      <c r="GQ220" s="27"/>
      <c r="GR220" s="27"/>
      <c r="GS220" s="27"/>
      <c r="GT220" s="27"/>
      <c r="GU220" s="27"/>
      <c r="GV220" s="27"/>
      <c r="GW220" s="27"/>
      <c r="GX220" s="27"/>
      <c r="GY220" s="27"/>
      <c r="GZ220" s="27"/>
      <c r="HA220" s="27"/>
      <c r="HB220" s="27"/>
      <c r="HC220" s="27"/>
      <c r="HD220" s="27"/>
      <c r="HE220" s="27"/>
      <c r="HF220" s="27"/>
      <c r="HG220" s="27"/>
      <c r="HH220" s="27"/>
      <c r="HI220" s="27"/>
      <c r="HJ220" s="27"/>
      <c r="HK220" s="27"/>
      <c r="HL220" s="27"/>
      <c r="HM220" s="27"/>
      <c r="HN220" s="27"/>
      <c r="HO220" s="27"/>
      <c r="HP220" s="27"/>
      <c r="HQ220" s="27"/>
      <c r="HR220" s="27"/>
      <c r="HS220" s="27"/>
      <c r="HT220" s="27"/>
      <c r="HU220" s="27"/>
      <c r="HV220" s="27"/>
      <c r="HW220" s="27"/>
      <c r="HX220" s="27"/>
      <c r="HY220" s="27"/>
      <c r="HZ220" s="27"/>
      <c r="IA220" s="27"/>
      <c r="IB220" s="27"/>
      <c r="IC220" s="27"/>
      <c r="ID220" s="27"/>
      <c r="IE220" s="27"/>
      <c r="IF220" s="27"/>
      <c r="IG220" s="27"/>
      <c r="IH220" s="27"/>
      <c r="II220" s="27"/>
      <c r="IJ220" s="27"/>
      <c r="IK220" s="27"/>
      <c r="IL220" s="27"/>
      <c r="IM220" s="27"/>
      <c r="IN220" s="27"/>
      <c r="IO220" s="27"/>
      <c r="IP220" s="27"/>
      <c r="IQ220" s="27"/>
      <c r="IR220" s="27"/>
    </row>
    <row r="221" spans="1:252" s="7" customFormat="1" ht="36" customHeight="1" x14ac:dyDescent="0.2">
      <c r="A221" s="21" t="s">
        <v>99</v>
      </c>
      <c r="B221" s="22" t="s">
        <v>100</v>
      </c>
      <c r="C221" s="29" t="s">
        <v>210</v>
      </c>
      <c r="D221" s="29" t="s">
        <v>217</v>
      </c>
      <c r="E221" s="28" t="s">
        <v>153</v>
      </c>
      <c r="F221" s="28" t="s">
        <v>218</v>
      </c>
      <c r="G221" s="29" t="s">
        <v>42</v>
      </c>
      <c r="H221" s="62" t="s">
        <v>136</v>
      </c>
      <c r="I221" s="63" t="s">
        <v>137</v>
      </c>
      <c r="J221" s="29" t="s">
        <v>51</v>
      </c>
      <c r="K221" s="61">
        <v>0</v>
      </c>
      <c r="L221" s="51">
        <v>57408</v>
      </c>
      <c r="M221" s="51">
        <v>0</v>
      </c>
      <c r="N221" s="51">
        <v>-57408</v>
      </c>
      <c r="O221" s="51">
        <f t="shared" si="8"/>
        <v>0</v>
      </c>
      <c r="P221" s="51">
        <v>0</v>
      </c>
      <c r="Q221" s="51">
        <v>0</v>
      </c>
      <c r="R221" s="51">
        <v>0</v>
      </c>
      <c r="S221" s="51"/>
      <c r="T221" s="51"/>
      <c r="U221" s="51"/>
      <c r="V221" s="51"/>
      <c r="W221" s="51"/>
      <c r="X221" s="52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  <c r="FJ221" s="27"/>
      <c r="FK221" s="27"/>
      <c r="FL221" s="27"/>
      <c r="FM221" s="27"/>
      <c r="FN221" s="27"/>
      <c r="FO221" s="27"/>
      <c r="FP221" s="27"/>
      <c r="FQ221" s="27"/>
      <c r="FR221" s="27"/>
      <c r="FS221" s="27"/>
      <c r="FT221" s="27"/>
      <c r="FU221" s="27"/>
      <c r="FV221" s="27"/>
      <c r="FW221" s="27"/>
      <c r="FX221" s="27"/>
      <c r="FY221" s="27"/>
      <c r="FZ221" s="27"/>
      <c r="GA221" s="27"/>
      <c r="GB221" s="27"/>
      <c r="GC221" s="27"/>
      <c r="GD221" s="27"/>
      <c r="GE221" s="27"/>
      <c r="GF221" s="27"/>
      <c r="GG221" s="27"/>
      <c r="GH221" s="27"/>
      <c r="GI221" s="27"/>
      <c r="GJ221" s="27"/>
      <c r="GK221" s="27"/>
      <c r="GL221" s="27"/>
      <c r="GM221" s="27"/>
      <c r="GN221" s="27"/>
      <c r="GO221" s="27"/>
      <c r="GP221" s="27"/>
      <c r="GQ221" s="27"/>
      <c r="GR221" s="27"/>
      <c r="GS221" s="27"/>
      <c r="GT221" s="27"/>
      <c r="GU221" s="27"/>
      <c r="GV221" s="27"/>
      <c r="GW221" s="27"/>
      <c r="GX221" s="27"/>
      <c r="GY221" s="27"/>
      <c r="GZ221" s="27"/>
      <c r="HA221" s="27"/>
      <c r="HB221" s="27"/>
      <c r="HC221" s="27"/>
      <c r="HD221" s="27"/>
      <c r="HE221" s="27"/>
      <c r="HF221" s="27"/>
      <c r="HG221" s="27"/>
      <c r="HH221" s="27"/>
      <c r="HI221" s="27"/>
      <c r="HJ221" s="27"/>
      <c r="HK221" s="27"/>
      <c r="HL221" s="27"/>
      <c r="HM221" s="27"/>
      <c r="HN221" s="27"/>
      <c r="HO221" s="27"/>
      <c r="HP221" s="27"/>
      <c r="HQ221" s="27"/>
      <c r="HR221" s="27"/>
      <c r="HS221" s="27"/>
      <c r="HT221" s="27"/>
      <c r="HU221" s="27"/>
      <c r="HV221" s="27"/>
      <c r="HW221" s="27"/>
      <c r="HX221" s="27"/>
      <c r="HY221" s="27"/>
      <c r="HZ221" s="27"/>
      <c r="IA221" s="27"/>
      <c r="IB221" s="27"/>
      <c r="IC221" s="27"/>
      <c r="ID221" s="27"/>
      <c r="IE221" s="27"/>
      <c r="IF221" s="27"/>
      <c r="IG221" s="27"/>
      <c r="IH221" s="27"/>
      <c r="II221" s="27"/>
      <c r="IJ221" s="27"/>
      <c r="IK221" s="27"/>
      <c r="IL221" s="27"/>
      <c r="IM221" s="27"/>
      <c r="IN221" s="27"/>
      <c r="IO221" s="27"/>
      <c r="IP221" s="27"/>
      <c r="IQ221" s="27"/>
      <c r="IR221" s="27"/>
    </row>
    <row r="222" spans="1:252" s="7" customFormat="1" ht="36" customHeight="1" x14ac:dyDescent="0.2">
      <c r="A222" s="21" t="s">
        <v>99</v>
      </c>
      <c r="B222" s="22" t="s">
        <v>100</v>
      </c>
      <c r="C222" s="29" t="s">
        <v>210</v>
      </c>
      <c r="D222" s="29" t="s">
        <v>219</v>
      </c>
      <c r="E222" s="28" t="s">
        <v>153</v>
      </c>
      <c r="F222" s="28" t="s">
        <v>220</v>
      </c>
      <c r="G222" s="29" t="s">
        <v>42</v>
      </c>
      <c r="H222" s="29" t="s">
        <v>134</v>
      </c>
      <c r="I222" s="28" t="s">
        <v>135</v>
      </c>
      <c r="J222" s="29" t="s">
        <v>51</v>
      </c>
      <c r="K222" s="61">
        <v>70000</v>
      </c>
      <c r="L222" s="51">
        <v>0</v>
      </c>
      <c r="M222" s="51">
        <v>0</v>
      </c>
      <c r="N222" s="51">
        <v>0</v>
      </c>
      <c r="O222" s="51">
        <f t="shared" si="8"/>
        <v>70000</v>
      </c>
      <c r="P222" s="51"/>
      <c r="Q222" s="51"/>
      <c r="R222" s="51"/>
      <c r="S222" s="51"/>
      <c r="T222" s="51"/>
      <c r="U222" s="51"/>
      <c r="V222" s="51">
        <v>0</v>
      </c>
      <c r="W222" s="51">
        <v>0</v>
      </c>
      <c r="X222" s="52">
        <v>0</v>
      </c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  <c r="FJ222" s="27"/>
      <c r="FK222" s="27"/>
      <c r="FL222" s="27"/>
      <c r="FM222" s="27"/>
      <c r="FN222" s="27"/>
      <c r="FO222" s="27"/>
      <c r="FP222" s="27"/>
      <c r="FQ222" s="27"/>
      <c r="FR222" s="27"/>
      <c r="FS222" s="27"/>
      <c r="FT222" s="27"/>
      <c r="FU222" s="27"/>
      <c r="FV222" s="27"/>
      <c r="FW222" s="27"/>
      <c r="FX222" s="27"/>
      <c r="FY222" s="27"/>
      <c r="FZ222" s="27"/>
      <c r="GA222" s="27"/>
      <c r="GB222" s="27"/>
      <c r="GC222" s="27"/>
      <c r="GD222" s="27"/>
      <c r="GE222" s="27"/>
      <c r="GF222" s="27"/>
      <c r="GG222" s="27"/>
      <c r="GH222" s="27"/>
      <c r="GI222" s="27"/>
      <c r="GJ222" s="27"/>
      <c r="GK222" s="27"/>
      <c r="GL222" s="27"/>
      <c r="GM222" s="27"/>
      <c r="GN222" s="27"/>
      <c r="GO222" s="27"/>
      <c r="GP222" s="27"/>
      <c r="GQ222" s="27"/>
      <c r="GR222" s="27"/>
      <c r="GS222" s="27"/>
      <c r="GT222" s="27"/>
      <c r="GU222" s="27"/>
      <c r="GV222" s="27"/>
      <c r="GW222" s="27"/>
      <c r="GX222" s="27"/>
      <c r="GY222" s="27"/>
      <c r="GZ222" s="27"/>
      <c r="HA222" s="27"/>
      <c r="HB222" s="27"/>
      <c r="HC222" s="27"/>
      <c r="HD222" s="27"/>
      <c r="HE222" s="27"/>
      <c r="HF222" s="27"/>
      <c r="HG222" s="27"/>
      <c r="HH222" s="27"/>
      <c r="HI222" s="27"/>
      <c r="HJ222" s="27"/>
      <c r="HK222" s="27"/>
      <c r="HL222" s="27"/>
      <c r="HM222" s="27"/>
      <c r="HN222" s="27"/>
      <c r="HO222" s="27"/>
      <c r="HP222" s="27"/>
      <c r="HQ222" s="27"/>
      <c r="HR222" s="27"/>
      <c r="HS222" s="27"/>
      <c r="HT222" s="27"/>
      <c r="HU222" s="27"/>
      <c r="HV222" s="27"/>
      <c r="HW222" s="27"/>
      <c r="HX222" s="27"/>
      <c r="HY222" s="27"/>
      <c r="HZ222" s="27"/>
      <c r="IA222" s="27"/>
      <c r="IB222" s="27"/>
      <c r="IC222" s="27"/>
      <c r="ID222" s="27"/>
      <c r="IE222" s="27"/>
      <c r="IF222" s="27"/>
      <c r="IG222" s="27"/>
      <c r="IH222" s="27"/>
      <c r="II222" s="27"/>
      <c r="IJ222" s="27"/>
      <c r="IK222" s="27"/>
      <c r="IL222" s="27"/>
      <c r="IM222" s="27"/>
      <c r="IN222" s="27"/>
      <c r="IO222" s="27"/>
      <c r="IP222" s="27"/>
      <c r="IQ222" s="27"/>
      <c r="IR222" s="27"/>
    </row>
    <row r="223" spans="1:252" s="7" customFormat="1" ht="36" customHeight="1" x14ac:dyDescent="0.2">
      <c r="A223" s="21" t="s">
        <v>99</v>
      </c>
      <c r="B223" s="22" t="s">
        <v>100</v>
      </c>
      <c r="C223" s="29" t="s">
        <v>210</v>
      </c>
      <c r="D223" s="29" t="s">
        <v>219</v>
      </c>
      <c r="E223" s="28" t="s">
        <v>153</v>
      </c>
      <c r="F223" s="28" t="s">
        <v>220</v>
      </c>
      <c r="G223" s="29" t="s">
        <v>42</v>
      </c>
      <c r="H223" s="29" t="s">
        <v>103</v>
      </c>
      <c r="I223" s="28" t="s">
        <v>104</v>
      </c>
      <c r="J223" s="29" t="s">
        <v>51</v>
      </c>
      <c r="K223" s="61">
        <v>450000</v>
      </c>
      <c r="L223" s="51">
        <v>0</v>
      </c>
      <c r="M223" s="51">
        <v>0</v>
      </c>
      <c r="N223" s="51">
        <v>0</v>
      </c>
      <c r="O223" s="51">
        <f t="shared" si="8"/>
        <v>450000</v>
      </c>
      <c r="P223" s="51"/>
      <c r="Q223" s="51"/>
      <c r="R223" s="51"/>
      <c r="S223" s="51"/>
      <c r="T223" s="51"/>
      <c r="U223" s="51"/>
      <c r="V223" s="51">
        <v>430074.67</v>
      </c>
      <c r="W223" s="51">
        <v>430074.67</v>
      </c>
      <c r="X223" s="52">
        <v>430074.67</v>
      </c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  <c r="FJ223" s="27"/>
      <c r="FK223" s="27"/>
      <c r="FL223" s="27"/>
      <c r="FM223" s="27"/>
      <c r="FN223" s="27"/>
      <c r="FO223" s="27"/>
      <c r="FP223" s="27"/>
      <c r="FQ223" s="27"/>
      <c r="FR223" s="27"/>
      <c r="FS223" s="27"/>
      <c r="FT223" s="27"/>
      <c r="FU223" s="27"/>
      <c r="FV223" s="27"/>
      <c r="FW223" s="27"/>
      <c r="FX223" s="27"/>
      <c r="FY223" s="27"/>
      <c r="FZ223" s="27"/>
      <c r="GA223" s="27"/>
      <c r="GB223" s="27"/>
      <c r="GC223" s="27"/>
      <c r="GD223" s="27"/>
      <c r="GE223" s="27"/>
      <c r="GF223" s="27"/>
      <c r="GG223" s="27"/>
      <c r="GH223" s="27"/>
      <c r="GI223" s="27"/>
      <c r="GJ223" s="27"/>
      <c r="GK223" s="27"/>
      <c r="GL223" s="27"/>
      <c r="GM223" s="27"/>
      <c r="GN223" s="27"/>
      <c r="GO223" s="27"/>
      <c r="GP223" s="27"/>
      <c r="GQ223" s="27"/>
      <c r="GR223" s="27"/>
      <c r="GS223" s="27"/>
      <c r="GT223" s="27"/>
      <c r="GU223" s="27"/>
      <c r="GV223" s="27"/>
      <c r="GW223" s="27"/>
      <c r="GX223" s="27"/>
      <c r="GY223" s="27"/>
      <c r="GZ223" s="27"/>
      <c r="HA223" s="27"/>
      <c r="HB223" s="27"/>
      <c r="HC223" s="27"/>
      <c r="HD223" s="27"/>
      <c r="HE223" s="27"/>
      <c r="HF223" s="27"/>
      <c r="HG223" s="27"/>
      <c r="HH223" s="27"/>
      <c r="HI223" s="27"/>
      <c r="HJ223" s="27"/>
      <c r="HK223" s="27"/>
      <c r="HL223" s="27"/>
      <c r="HM223" s="27"/>
      <c r="HN223" s="27"/>
      <c r="HO223" s="27"/>
      <c r="HP223" s="27"/>
      <c r="HQ223" s="27"/>
      <c r="HR223" s="27"/>
      <c r="HS223" s="27"/>
      <c r="HT223" s="27"/>
      <c r="HU223" s="27"/>
      <c r="HV223" s="27"/>
      <c r="HW223" s="27"/>
      <c r="HX223" s="27"/>
      <c r="HY223" s="27"/>
      <c r="HZ223" s="27"/>
      <c r="IA223" s="27"/>
      <c r="IB223" s="27"/>
      <c r="IC223" s="27"/>
      <c r="ID223" s="27"/>
      <c r="IE223" s="27"/>
      <c r="IF223" s="27"/>
      <c r="IG223" s="27"/>
      <c r="IH223" s="27"/>
      <c r="II223" s="27"/>
      <c r="IJ223" s="27"/>
      <c r="IK223" s="27"/>
      <c r="IL223" s="27"/>
      <c r="IM223" s="27"/>
      <c r="IN223" s="27"/>
      <c r="IO223" s="27"/>
      <c r="IP223" s="27"/>
      <c r="IQ223" s="27"/>
      <c r="IR223" s="27"/>
    </row>
    <row r="224" spans="1:252" s="7" customFormat="1" ht="36" customHeight="1" x14ac:dyDescent="0.2">
      <c r="A224" s="21" t="s">
        <v>99</v>
      </c>
      <c r="B224" s="22" t="s">
        <v>100</v>
      </c>
      <c r="C224" s="29" t="s">
        <v>210</v>
      </c>
      <c r="D224" s="29" t="s">
        <v>219</v>
      </c>
      <c r="E224" s="28" t="s">
        <v>153</v>
      </c>
      <c r="F224" s="28" t="s">
        <v>220</v>
      </c>
      <c r="G224" s="29" t="s">
        <v>42</v>
      </c>
      <c r="H224" s="62" t="s">
        <v>56</v>
      </c>
      <c r="I224" s="65" t="s">
        <v>57</v>
      </c>
      <c r="J224" s="29" t="s">
        <v>51</v>
      </c>
      <c r="K224" s="61">
        <v>0</v>
      </c>
      <c r="L224" s="51">
        <v>534742</v>
      </c>
      <c r="M224" s="51">
        <v>0</v>
      </c>
      <c r="N224" s="51">
        <v>0</v>
      </c>
      <c r="O224" s="51">
        <f t="shared" si="8"/>
        <v>534742</v>
      </c>
      <c r="P224" s="51"/>
      <c r="Q224" s="51"/>
      <c r="R224" s="51"/>
      <c r="S224" s="51"/>
      <c r="T224" s="51"/>
      <c r="U224" s="51"/>
      <c r="V224" s="51">
        <v>449119.13</v>
      </c>
      <c r="W224" s="51">
        <v>449119.13</v>
      </c>
      <c r="X224" s="52">
        <v>449119.13</v>
      </c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  <c r="FJ224" s="27"/>
      <c r="FK224" s="27"/>
      <c r="FL224" s="27"/>
      <c r="FM224" s="27"/>
      <c r="FN224" s="27"/>
      <c r="FO224" s="27"/>
      <c r="FP224" s="27"/>
      <c r="FQ224" s="27"/>
      <c r="FR224" s="27"/>
      <c r="FS224" s="27"/>
      <c r="FT224" s="27"/>
      <c r="FU224" s="27"/>
      <c r="FV224" s="27"/>
      <c r="FW224" s="27"/>
      <c r="FX224" s="27"/>
      <c r="FY224" s="27"/>
      <c r="FZ224" s="27"/>
      <c r="GA224" s="27"/>
      <c r="GB224" s="27"/>
      <c r="GC224" s="27"/>
      <c r="GD224" s="27"/>
      <c r="GE224" s="27"/>
      <c r="GF224" s="27"/>
      <c r="GG224" s="27"/>
      <c r="GH224" s="27"/>
      <c r="GI224" s="27"/>
      <c r="GJ224" s="27"/>
      <c r="GK224" s="27"/>
      <c r="GL224" s="27"/>
      <c r="GM224" s="27"/>
      <c r="GN224" s="27"/>
      <c r="GO224" s="27"/>
      <c r="GP224" s="27"/>
      <c r="GQ224" s="27"/>
      <c r="GR224" s="27"/>
      <c r="GS224" s="27"/>
      <c r="GT224" s="27"/>
      <c r="GU224" s="27"/>
      <c r="GV224" s="27"/>
      <c r="GW224" s="27"/>
      <c r="GX224" s="27"/>
      <c r="GY224" s="27"/>
      <c r="GZ224" s="27"/>
      <c r="HA224" s="27"/>
      <c r="HB224" s="27"/>
      <c r="HC224" s="27"/>
      <c r="HD224" s="27"/>
      <c r="HE224" s="27"/>
      <c r="HF224" s="27"/>
      <c r="HG224" s="27"/>
      <c r="HH224" s="27"/>
      <c r="HI224" s="27"/>
      <c r="HJ224" s="27"/>
      <c r="HK224" s="27"/>
      <c r="HL224" s="27"/>
      <c r="HM224" s="27"/>
      <c r="HN224" s="27"/>
      <c r="HO224" s="27"/>
      <c r="HP224" s="27"/>
      <c r="HQ224" s="27"/>
      <c r="HR224" s="27"/>
      <c r="HS224" s="27"/>
      <c r="HT224" s="27"/>
      <c r="HU224" s="27"/>
      <c r="HV224" s="27"/>
      <c r="HW224" s="27"/>
      <c r="HX224" s="27"/>
      <c r="HY224" s="27"/>
      <c r="HZ224" s="27"/>
      <c r="IA224" s="27"/>
      <c r="IB224" s="27"/>
      <c r="IC224" s="27"/>
      <c r="ID224" s="27"/>
      <c r="IE224" s="27"/>
      <c r="IF224" s="27"/>
      <c r="IG224" s="27"/>
      <c r="IH224" s="27"/>
      <c r="II224" s="27"/>
      <c r="IJ224" s="27"/>
      <c r="IK224" s="27"/>
      <c r="IL224" s="27"/>
      <c r="IM224" s="27"/>
      <c r="IN224" s="27"/>
      <c r="IO224" s="27"/>
      <c r="IP224" s="27"/>
      <c r="IQ224" s="27"/>
      <c r="IR224" s="27"/>
    </row>
    <row r="225" spans="1:252" s="7" customFormat="1" ht="36" customHeight="1" x14ac:dyDescent="0.2">
      <c r="A225" s="21" t="s">
        <v>99</v>
      </c>
      <c r="B225" s="22" t="s">
        <v>100</v>
      </c>
      <c r="C225" s="29" t="s">
        <v>210</v>
      </c>
      <c r="D225" s="29" t="s">
        <v>219</v>
      </c>
      <c r="E225" s="28" t="s">
        <v>153</v>
      </c>
      <c r="F225" s="28" t="s">
        <v>220</v>
      </c>
      <c r="G225" s="29" t="s">
        <v>42</v>
      </c>
      <c r="H225" s="62" t="s">
        <v>136</v>
      </c>
      <c r="I225" s="63" t="s">
        <v>137</v>
      </c>
      <c r="J225" s="29" t="s">
        <v>51</v>
      </c>
      <c r="K225" s="61">
        <v>0</v>
      </c>
      <c r="L225" s="51">
        <v>60400</v>
      </c>
      <c r="M225" s="51">
        <v>0</v>
      </c>
      <c r="N225" s="51">
        <v>0</v>
      </c>
      <c r="O225" s="51">
        <f t="shared" si="8"/>
        <v>60400</v>
      </c>
      <c r="P225" s="51"/>
      <c r="Q225" s="51"/>
      <c r="R225" s="51"/>
      <c r="S225" s="51"/>
      <c r="T225" s="51"/>
      <c r="U225" s="51"/>
      <c r="V225" s="51">
        <v>59947.03</v>
      </c>
      <c r="W225" s="51">
        <v>59947.03</v>
      </c>
      <c r="X225" s="52">
        <v>59947.03</v>
      </c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  <c r="FJ225" s="27"/>
      <c r="FK225" s="27"/>
      <c r="FL225" s="27"/>
      <c r="FM225" s="27"/>
      <c r="FN225" s="27"/>
      <c r="FO225" s="27"/>
      <c r="FP225" s="27"/>
      <c r="FQ225" s="27"/>
      <c r="FR225" s="27"/>
      <c r="FS225" s="27"/>
      <c r="FT225" s="27"/>
      <c r="FU225" s="27"/>
      <c r="FV225" s="27"/>
      <c r="FW225" s="27"/>
      <c r="FX225" s="27"/>
      <c r="FY225" s="27"/>
      <c r="FZ225" s="27"/>
      <c r="GA225" s="27"/>
      <c r="GB225" s="27"/>
      <c r="GC225" s="27"/>
      <c r="GD225" s="27"/>
      <c r="GE225" s="27"/>
      <c r="GF225" s="27"/>
      <c r="GG225" s="27"/>
      <c r="GH225" s="27"/>
      <c r="GI225" s="27"/>
      <c r="GJ225" s="27"/>
      <c r="GK225" s="27"/>
      <c r="GL225" s="27"/>
      <c r="GM225" s="27"/>
      <c r="GN225" s="27"/>
      <c r="GO225" s="27"/>
      <c r="GP225" s="27"/>
      <c r="GQ225" s="27"/>
      <c r="GR225" s="27"/>
      <c r="GS225" s="27"/>
      <c r="GT225" s="27"/>
      <c r="GU225" s="27"/>
      <c r="GV225" s="27"/>
      <c r="GW225" s="27"/>
      <c r="GX225" s="27"/>
      <c r="GY225" s="27"/>
      <c r="GZ225" s="27"/>
      <c r="HA225" s="27"/>
      <c r="HB225" s="27"/>
      <c r="HC225" s="27"/>
      <c r="HD225" s="27"/>
      <c r="HE225" s="27"/>
      <c r="HF225" s="27"/>
      <c r="HG225" s="27"/>
      <c r="HH225" s="27"/>
      <c r="HI225" s="27"/>
      <c r="HJ225" s="27"/>
      <c r="HK225" s="27"/>
      <c r="HL225" s="27"/>
      <c r="HM225" s="27"/>
      <c r="HN225" s="27"/>
      <c r="HO225" s="27"/>
      <c r="HP225" s="27"/>
      <c r="HQ225" s="27"/>
      <c r="HR225" s="27"/>
      <c r="HS225" s="27"/>
      <c r="HT225" s="27"/>
      <c r="HU225" s="27"/>
      <c r="HV225" s="27"/>
      <c r="HW225" s="27"/>
      <c r="HX225" s="27"/>
      <c r="HY225" s="27"/>
      <c r="HZ225" s="27"/>
      <c r="IA225" s="27"/>
      <c r="IB225" s="27"/>
      <c r="IC225" s="27"/>
      <c r="ID225" s="27"/>
      <c r="IE225" s="27"/>
      <c r="IF225" s="27"/>
      <c r="IG225" s="27"/>
      <c r="IH225" s="27"/>
      <c r="II225" s="27"/>
      <c r="IJ225" s="27"/>
      <c r="IK225" s="27"/>
      <c r="IL225" s="27"/>
      <c r="IM225" s="27"/>
      <c r="IN225" s="27"/>
      <c r="IO225" s="27"/>
      <c r="IP225" s="27"/>
      <c r="IQ225" s="27"/>
      <c r="IR225" s="27"/>
    </row>
    <row r="226" spans="1:252" s="7" customFormat="1" ht="36" customHeight="1" x14ac:dyDescent="0.2">
      <c r="A226" s="21" t="s">
        <v>99</v>
      </c>
      <c r="B226" s="22" t="s">
        <v>100</v>
      </c>
      <c r="C226" s="29" t="s">
        <v>221</v>
      </c>
      <c r="D226" s="29" t="s">
        <v>222</v>
      </c>
      <c r="E226" s="28" t="s">
        <v>153</v>
      </c>
      <c r="F226" s="28" t="s">
        <v>223</v>
      </c>
      <c r="G226" s="29" t="s">
        <v>42</v>
      </c>
      <c r="H226" s="29" t="s">
        <v>103</v>
      </c>
      <c r="I226" s="28" t="s">
        <v>104</v>
      </c>
      <c r="J226" s="29" t="s">
        <v>51</v>
      </c>
      <c r="K226" s="61">
        <v>1029987</v>
      </c>
      <c r="L226" s="51">
        <v>50000</v>
      </c>
      <c r="M226" s="51">
        <v>0</v>
      </c>
      <c r="N226" s="51">
        <v>0</v>
      </c>
      <c r="O226" s="51">
        <f t="shared" si="8"/>
        <v>1079987</v>
      </c>
      <c r="P226" s="51"/>
      <c r="Q226" s="51"/>
      <c r="R226" s="51"/>
      <c r="S226" s="51"/>
      <c r="T226" s="51"/>
      <c r="U226" s="51"/>
      <c r="V226" s="51">
        <v>813262.68</v>
      </c>
      <c r="W226" s="51">
        <v>813262.68</v>
      </c>
      <c r="X226" s="52">
        <v>806288.93</v>
      </c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  <c r="FJ226" s="27"/>
      <c r="FK226" s="27"/>
      <c r="FL226" s="27"/>
      <c r="FM226" s="27"/>
      <c r="FN226" s="27"/>
      <c r="FO226" s="27"/>
      <c r="FP226" s="27"/>
      <c r="FQ226" s="27"/>
      <c r="FR226" s="27"/>
      <c r="FS226" s="27"/>
      <c r="FT226" s="27"/>
      <c r="FU226" s="27"/>
      <c r="FV226" s="27"/>
      <c r="FW226" s="27"/>
      <c r="FX226" s="27"/>
      <c r="FY226" s="27"/>
      <c r="FZ226" s="27"/>
      <c r="GA226" s="27"/>
      <c r="GB226" s="27"/>
      <c r="GC226" s="27"/>
      <c r="GD226" s="27"/>
      <c r="GE226" s="27"/>
      <c r="GF226" s="27"/>
      <c r="GG226" s="27"/>
      <c r="GH226" s="27"/>
      <c r="GI226" s="27"/>
      <c r="GJ226" s="27"/>
      <c r="GK226" s="27"/>
      <c r="GL226" s="27"/>
      <c r="GM226" s="27"/>
      <c r="GN226" s="27"/>
      <c r="GO226" s="27"/>
      <c r="GP226" s="27"/>
      <c r="GQ226" s="27"/>
      <c r="GR226" s="27"/>
      <c r="GS226" s="27"/>
      <c r="GT226" s="27"/>
      <c r="GU226" s="27"/>
      <c r="GV226" s="27"/>
      <c r="GW226" s="27"/>
      <c r="GX226" s="27"/>
      <c r="GY226" s="27"/>
      <c r="GZ226" s="27"/>
      <c r="HA226" s="27"/>
      <c r="HB226" s="27"/>
      <c r="HC226" s="27"/>
      <c r="HD226" s="27"/>
      <c r="HE226" s="27"/>
      <c r="HF226" s="27"/>
      <c r="HG226" s="27"/>
      <c r="HH226" s="27"/>
      <c r="HI226" s="27"/>
      <c r="HJ226" s="27"/>
      <c r="HK226" s="27"/>
      <c r="HL226" s="27"/>
      <c r="HM226" s="27"/>
      <c r="HN226" s="27"/>
      <c r="HO226" s="27"/>
      <c r="HP226" s="27"/>
      <c r="HQ226" s="27"/>
      <c r="HR226" s="27"/>
      <c r="HS226" s="27"/>
      <c r="HT226" s="27"/>
      <c r="HU226" s="27"/>
      <c r="HV226" s="27"/>
      <c r="HW226" s="27"/>
      <c r="HX226" s="27"/>
      <c r="HY226" s="27"/>
      <c r="HZ226" s="27"/>
      <c r="IA226" s="27"/>
      <c r="IB226" s="27"/>
      <c r="IC226" s="27"/>
      <c r="ID226" s="27"/>
      <c r="IE226" s="27"/>
      <c r="IF226" s="27"/>
      <c r="IG226" s="27"/>
      <c r="IH226" s="27"/>
      <c r="II226" s="27"/>
      <c r="IJ226" s="27"/>
      <c r="IK226" s="27"/>
      <c r="IL226" s="27"/>
      <c r="IM226" s="27"/>
      <c r="IN226" s="27"/>
      <c r="IO226" s="27"/>
      <c r="IP226" s="27"/>
      <c r="IQ226" s="27"/>
      <c r="IR226" s="27"/>
    </row>
    <row r="227" spans="1:252" s="7" customFormat="1" ht="36" customHeight="1" x14ac:dyDescent="0.2">
      <c r="A227" s="21" t="s">
        <v>99</v>
      </c>
      <c r="B227" s="22" t="s">
        <v>100</v>
      </c>
      <c r="C227" s="29" t="s">
        <v>221</v>
      </c>
      <c r="D227" s="29" t="s">
        <v>222</v>
      </c>
      <c r="E227" s="28" t="s">
        <v>153</v>
      </c>
      <c r="F227" s="28" t="s">
        <v>223</v>
      </c>
      <c r="G227" s="29" t="s">
        <v>42</v>
      </c>
      <c r="H227" s="62" t="s">
        <v>56</v>
      </c>
      <c r="I227" s="65" t="s">
        <v>57</v>
      </c>
      <c r="J227" s="29" t="s">
        <v>51</v>
      </c>
      <c r="K227" s="61">
        <v>0</v>
      </c>
      <c r="L227" s="51">
        <v>326495</v>
      </c>
      <c r="M227" s="51">
        <v>0</v>
      </c>
      <c r="N227" s="51">
        <v>0</v>
      </c>
      <c r="O227" s="51">
        <f t="shared" si="8"/>
        <v>326495</v>
      </c>
      <c r="P227" s="51"/>
      <c r="Q227" s="51"/>
      <c r="R227" s="51"/>
      <c r="S227" s="51"/>
      <c r="T227" s="51"/>
      <c r="U227" s="51"/>
      <c r="V227" s="51">
        <v>326226.63</v>
      </c>
      <c r="W227" s="51">
        <v>326226.63</v>
      </c>
      <c r="X227" s="52">
        <v>326226.63</v>
      </c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  <c r="FJ227" s="27"/>
      <c r="FK227" s="27"/>
      <c r="FL227" s="27"/>
      <c r="FM227" s="27"/>
      <c r="FN227" s="27"/>
      <c r="FO227" s="27"/>
      <c r="FP227" s="27"/>
      <c r="FQ227" s="27"/>
      <c r="FR227" s="27"/>
      <c r="FS227" s="27"/>
      <c r="FT227" s="27"/>
      <c r="FU227" s="27"/>
      <c r="FV227" s="27"/>
      <c r="FW227" s="27"/>
      <c r="FX227" s="27"/>
      <c r="FY227" s="27"/>
      <c r="FZ227" s="27"/>
      <c r="GA227" s="27"/>
      <c r="GB227" s="27"/>
      <c r="GC227" s="27"/>
      <c r="GD227" s="27"/>
      <c r="GE227" s="27"/>
      <c r="GF227" s="27"/>
      <c r="GG227" s="27"/>
      <c r="GH227" s="27"/>
      <c r="GI227" s="27"/>
      <c r="GJ227" s="27"/>
      <c r="GK227" s="27"/>
      <c r="GL227" s="27"/>
      <c r="GM227" s="27"/>
      <c r="GN227" s="27"/>
      <c r="GO227" s="27"/>
      <c r="GP227" s="27"/>
      <c r="GQ227" s="27"/>
      <c r="GR227" s="27"/>
      <c r="GS227" s="27"/>
      <c r="GT227" s="27"/>
      <c r="GU227" s="27"/>
      <c r="GV227" s="27"/>
      <c r="GW227" s="27"/>
      <c r="GX227" s="27"/>
      <c r="GY227" s="27"/>
      <c r="GZ227" s="27"/>
      <c r="HA227" s="27"/>
      <c r="HB227" s="27"/>
      <c r="HC227" s="27"/>
      <c r="HD227" s="27"/>
      <c r="HE227" s="27"/>
      <c r="HF227" s="27"/>
      <c r="HG227" s="27"/>
      <c r="HH227" s="27"/>
      <c r="HI227" s="27"/>
      <c r="HJ227" s="27"/>
      <c r="HK227" s="27"/>
      <c r="HL227" s="27"/>
      <c r="HM227" s="27"/>
      <c r="HN227" s="27"/>
      <c r="HO227" s="27"/>
      <c r="HP227" s="27"/>
      <c r="HQ227" s="27"/>
      <c r="HR227" s="27"/>
      <c r="HS227" s="27"/>
      <c r="HT227" s="27"/>
      <c r="HU227" s="27"/>
      <c r="HV227" s="27"/>
      <c r="HW227" s="27"/>
      <c r="HX227" s="27"/>
      <c r="HY227" s="27"/>
      <c r="HZ227" s="27"/>
      <c r="IA227" s="27"/>
      <c r="IB227" s="27"/>
      <c r="IC227" s="27"/>
      <c r="ID227" s="27"/>
      <c r="IE227" s="27"/>
      <c r="IF227" s="27"/>
      <c r="IG227" s="27"/>
      <c r="IH227" s="27"/>
      <c r="II227" s="27"/>
      <c r="IJ227" s="27"/>
      <c r="IK227" s="27"/>
      <c r="IL227" s="27"/>
      <c r="IM227" s="27"/>
      <c r="IN227" s="27"/>
      <c r="IO227" s="27"/>
      <c r="IP227" s="27"/>
      <c r="IQ227" s="27"/>
      <c r="IR227" s="27"/>
    </row>
    <row r="228" spans="1:252" s="7" customFormat="1" ht="36" customHeight="1" x14ac:dyDescent="0.2">
      <c r="A228" s="21" t="s">
        <v>99</v>
      </c>
      <c r="B228" s="22" t="s">
        <v>100</v>
      </c>
      <c r="C228" s="29" t="s">
        <v>221</v>
      </c>
      <c r="D228" s="29" t="s">
        <v>222</v>
      </c>
      <c r="E228" s="28" t="s">
        <v>153</v>
      </c>
      <c r="F228" s="28" t="s">
        <v>223</v>
      </c>
      <c r="G228" s="29" t="s">
        <v>42</v>
      </c>
      <c r="H228" s="62" t="s">
        <v>136</v>
      </c>
      <c r="I228" s="63" t="s">
        <v>137</v>
      </c>
      <c r="J228" s="29" t="s">
        <v>51</v>
      </c>
      <c r="K228" s="61">
        <v>0</v>
      </c>
      <c r="L228" s="51">
        <v>51313</v>
      </c>
      <c r="M228" s="51">
        <v>0</v>
      </c>
      <c r="N228" s="51">
        <v>0</v>
      </c>
      <c r="O228" s="51">
        <f t="shared" si="8"/>
        <v>51313</v>
      </c>
      <c r="P228" s="51"/>
      <c r="Q228" s="51"/>
      <c r="R228" s="51"/>
      <c r="S228" s="51"/>
      <c r="T228" s="51"/>
      <c r="U228" s="51"/>
      <c r="V228" s="51">
        <v>51084.79</v>
      </c>
      <c r="W228" s="51">
        <v>51084.79</v>
      </c>
      <c r="X228" s="52">
        <v>51084.79</v>
      </c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  <c r="FJ228" s="27"/>
      <c r="FK228" s="27"/>
      <c r="FL228" s="27"/>
      <c r="FM228" s="27"/>
      <c r="FN228" s="27"/>
      <c r="FO228" s="27"/>
      <c r="FP228" s="27"/>
      <c r="FQ228" s="27"/>
      <c r="FR228" s="27"/>
      <c r="FS228" s="27"/>
      <c r="FT228" s="27"/>
      <c r="FU228" s="27"/>
      <c r="FV228" s="27"/>
      <c r="FW228" s="27"/>
      <c r="FX228" s="27"/>
      <c r="FY228" s="27"/>
      <c r="FZ228" s="27"/>
      <c r="GA228" s="27"/>
      <c r="GB228" s="27"/>
      <c r="GC228" s="27"/>
      <c r="GD228" s="27"/>
      <c r="GE228" s="27"/>
      <c r="GF228" s="27"/>
      <c r="GG228" s="27"/>
      <c r="GH228" s="27"/>
      <c r="GI228" s="27"/>
      <c r="GJ228" s="27"/>
      <c r="GK228" s="27"/>
      <c r="GL228" s="27"/>
      <c r="GM228" s="27"/>
      <c r="GN228" s="27"/>
      <c r="GO228" s="27"/>
      <c r="GP228" s="27"/>
      <c r="GQ228" s="27"/>
      <c r="GR228" s="27"/>
      <c r="GS228" s="27"/>
      <c r="GT228" s="27"/>
      <c r="GU228" s="27"/>
      <c r="GV228" s="27"/>
      <c r="GW228" s="27"/>
      <c r="GX228" s="27"/>
      <c r="GY228" s="27"/>
      <c r="GZ228" s="27"/>
      <c r="HA228" s="27"/>
      <c r="HB228" s="27"/>
      <c r="HC228" s="27"/>
      <c r="HD228" s="27"/>
      <c r="HE228" s="27"/>
      <c r="HF228" s="27"/>
      <c r="HG228" s="27"/>
      <c r="HH228" s="27"/>
      <c r="HI228" s="27"/>
      <c r="HJ228" s="27"/>
      <c r="HK228" s="27"/>
      <c r="HL228" s="27"/>
      <c r="HM228" s="27"/>
      <c r="HN228" s="27"/>
      <c r="HO228" s="27"/>
      <c r="HP228" s="27"/>
      <c r="HQ228" s="27"/>
      <c r="HR228" s="27"/>
      <c r="HS228" s="27"/>
      <c r="HT228" s="27"/>
      <c r="HU228" s="27"/>
      <c r="HV228" s="27"/>
      <c r="HW228" s="27"/>
      <c r="HX228" s="27"/>
      <c r="HY228" s="27"/>
      <c r="HZ228" s="27"/>
      <c r="IA228" s="27"/>
      <c r="IB228" s="27"/>
      <c r="IC228" s="27"/>
      <c r="ID228" s="27"/>
      <c r="IE228" s="27"/>
      <c r="IF228" s="27"/>
      <c r="IG228" s="27"/>
      <c r="IH228" s="27"/>
      <c r="II228" s="27"/>
      <c r="IJ228" s="27"/>
      <c r="IK228" s="27"/>
      <c r="IL228" s="27"/>
      <c r="IM228" s="27"/>
      <c r="IN228" s="27"/>
      <c r="IO228" s="27"/>
      <c r="IP228" s="27"/>
      <c r="IQ228" s="27"/>
      <c r="IR228" s="27"/>
    </row>
    <row r="229" spans="1:252" s="7" customFormat="1" ht="36" customHeight="1" x14ac:dyDescent="0.2">
      <c r="A229" s="21" t="s">
        <v>99</v>
      </c>
      <c r="B229" s="22" t="s">
        <v>100</v>
      </c>
      <c r="C229" s="29" t="s">
        <v>224</v>
      </c>
      <c r="D229" s="29" t="s">
        <v>225</v>
      </c>
      <c r="E229" s="28" t="s">
        <v>153</v>
      </c>
      <c r="F229" s="28" t="s">
        <v>226</v>
      </c>
      <c r="G229" s="29" t="s">
        <v>42</v>
      </c>
      <c r="H229" s="29" t="s">
        <v>103</v>
      </c>
      <c r="I229" s="28" t="s">
        <v>104</v>
      </c>
      <c r="J229" s="29" t="s">
        <v>51</v>
      </c>
      <c r="K229" s="61">
        <v>1108512</v>
      </c>
      <c r="L229" s="51">
        <v>0</v>
      </c>
      <c r="M229" s="51">
        <v>0</v>
      </c>
      <c r="N229" s="51">
        <v>0</v>
      </c>
      <c r="O229" s="51">
        <f t="shared" si="8"/>
        <v>1108512</v>
      </c>
      <c r="P229" s="51"/>
      <c r="Q229" s="51"/>
      <c r="R229" s="51"/>
      <c r="S229" s="51"/>
      <c r="T229" s="51"/>
      <c r="U229" s="51"/>
      <c r="V229" s="51">
        <v>789330.27</v>
      </c>
      <c r="W229" s="51">
        <v>789330.27</v>
      </c>
      <c r="X229" s="52">
        <v>789330.27</v>
      </c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  <c r="FJ229" s="27"/>
      <c r="FK229" s="27"/>
      <c r="FL229" s="27"/>
      <c r="FM229" s="27"/>
      <c r="FN229" s="27"/>
      <c r="FO229" s="27"/>
      <c r="FP229" s="27"/>
      <c r="FQ229" s="27"/>
      <c r="FR229" s="27"/>
      <c r="FS229" s="27"/>
      <c r="FT229" s="27"/>
      <c r="FU229" s="27"/>
      <c r="FV229" s="27"/>
      <c r="FW229" s="27"/>
      <c r="FX229" s="27"/>
      <c r="FY229" s="27"/>
      <c r="FZ229" s="27"/>
      <c r="GA229" s="27"/>
      <c r="GB229" s="27"/>
      <c r="GC229" s="27"/>
      <c r="GD229" s="27"/>
      <c r="GE229" s="27"/>
      <c r="GF229" s="27"/>
      <c r="GG229" s="27"/>
      <c r="GH229" s="27"/>
      <c r="GI229" s="27"/>
      <c r="GJ229" s="27"/>
      <c r="GK229" s="27"/>
      <c r="GL229" s="27"/>
      <c r="GM229" s="27"/>
      <c r="GN229" s="27"/>
      <c r="GO229" s="27"/>
      <c r="GP229" s="27"/>
      <c r="GQ229" s="27"/>
      <c r="GR229" s="27"/>
      <c r="GS229" s="27"/>
      <c r="GT229" s="27"/>
      <c r="GU229" s="27"/>
      <c r="GV229" s="27"/>
      <c r="GW229" s="27"/>
      <c r="GX229" s="27"/>
      <c r="GY229" s="27"/>
      <c r="GZ229" s="27"/>
      <c r="HA229" s="27"/>
      <c r="HB229" s="27"/>
      <c r="HC229" s="27"/>
      <c r="HD229" s="27"/>
      <c r="HE229" s="27"/>
      <c r="HF229" s="27"/>
      <c r="HG229" s="27"/>
      <c r="HH229" s="27"/>
      <c r="HI229" s="27"/>
      <c r="HJ229" s="27"/>
      <c r="HK229" s="27"/>
      <c r="HL229" s="27"/>
      <c r="HM229" s="27"/>
      <c r="HN229" s="27"/>
      <c r="HO229" s="27"/>
      <c r="HP229" s="27"/>
      <c r="HQ229" s="27"/>
      <c r="HR229" s="27"/>
      <c r="HS229" s="27"/>
      <c r="HT229" s="27"/>
      <c r="HU229" s="27"/>
      <c r="HV229" s="27"/>
      <c r="HW229" s="27"/>
      <c r="HX229" s="27"/>
      <c r="HY229" s="27"/>
      <c r="HZ229" s="27"/>
      <c r="IA229" s="27"/>
      <c r="IB229" s="27"/>
      <c r="IC229" s="27"/>
      <c r="ID229" s="27"/>
      <c r="IE229" s="27"/>
      <c r="IF229" s="27"/>
      <c r="IG229" s="27"/>
      <c r="IH229" s="27"/>
      <c r="II229" s="27"/>
      <c r="IJ229" s="27"/>
      <c r="IK229" s="27"/>
      <c r="IL229" s="27"/>
      <c r="IM229" s="27"/>
      <c r="IN229" s="27"/>
      <c r="IO229" s="27"/>
      <c r="IP229" s="27"/>
      <c r="IQ229" s="27"/>
      <c r="IR229" s="27"/>
    </row>
    <row r="230" spans="1:252" s="7" customFormat="1" ht="36" customHeight="1" x14ac:dyDescent="0.2">
      <c r="A230" s="21" t="s">
        <v>99</v>
      </c>
      <c r="B230" s="22" t="s">
        <v>100</v>
      </c>
      <c r="C230" s="29" t="s">
        <v>77</v>
      </c>
      <c r="D230" s="29" t="s">
        <v>227</v>
      </c>
      <c r="E230" s="28" t="s">
        <v>49</v>
      </c>
      <c r="F230" s="28" t="s">
        <v>228</v>
      </c>
      <c r="G230" s="29" t="s">
        <v>42</v>
      </c>
      <c r="H230" s="29" t="s">
        <v>43</v>
      </c>
      <c r="I230" s="28" t="s">
        <v>44</v>
      </c>
      <c r="J230" s="29" t="s">
        <v>128</v>
      </c>
      <c r="K230" s="61">
        <v>20000</v>
      </c>
      <c r="L230" s="51">
        <v>-20000</v>
      </c>
      <c r="M230" s="51">
        <v>0</v>
      </c>
      <c r="N230" s="51">
        <v>0</v>
      </c>
      <c r="O230" s="51">
        <f t="shared" si="8"/>
        <v>0</v>
      </c>
      <c r="P230" s="51"/>
      <c r="Q230" s="51"/>
      <c r="R230" s="51"/>
      <c r="S230" s="51"/>
      <c r="T230" s="51"/>
      <c r="U230" s="51"/>
      <c r="V230" s="51">
        <v>0</v>
      </c>
      <c r="W230" s="51">
        <v>0</v>
      </c>
      <c r="X230" s="52">
        <v>0</v>
      </c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  <c r="FJ230" s="27"/>
      <c r="FK230" s="27"/>
      <c r="FL230" s="27"/>
      <c r="FM230" s="27"/>
      <c r="FN230" s="27"/>
      <c r="FO230" s="27"/>
      <c r="FP230" s="27"/>
      <c r="FQ230" s="27"/>
      <c r="FR230" s="27"/>
      <c r="FS230" s="27"/>
      <c r="FT230" s="27"/>
      <c r="FU230" s="27"/>
      <c r="FV230" s="27"/>
      <c r="FW230" s="27"/>
      <c r="FX230" s="27"/>
      <c r="FY230" s="27"/>
      <c r="FZ230" s="27"/>
      <c r="GA230" s="27"/>
      <c r="GB230" s="27"/>
      <c r="GC230" s="27"/>
      <c r="GD230" s="27"/>
      <c r="GE230" s="27"/>
      <c r="GF230" s="27"/>
      <c r="GG230" s="27"/>
      <c r="GH230" s="27"/>
      <c r="GI230" s="27"/>
      <c r="GJ230" s="27"/>
      <c r="GK230" s="27"/>
      <c r="GL230" s="27"/>
      <c r="GM230" s="27"/>
      <c r="GN230" s="27"/>
      <c r="GO230" s="27"/>
      <c r="GP230" s="27"/>
      <c r="GQ230" s="27"/>
      <c r="GR230" s="27"/>
      <c r="GS230" s="27"/>
      <c r="GT230" s="27"/>
      <c r="GU230" s="27"/>
      <c r="GV230" s="27"/>
      <c r="GW230" s="27"/>
      <c r="GX230" s="27"/>
      <c r="GY230" s="27"/>
      <c r="GZ230" s="27"/>
      <c r="HA230" s="27"/>
      <c r="HB230" s="27"/>
      <c r="HC230" s="27"/>
      <c r="HD230" s="27"/>
      <c r="HE230" s="27"/>
      <c r="HF230" s="27"/>
      <c r="HG230" s="27"/>
      <c r="HH230" s="27"/>
      <c r="HI230" s="27"/>
      <c r="HJ230" s="27"/>
      <c r="HK230" s="27"/>
      <c r="HL230" s="27"/>
      <c r="HM230" s="27"/>
      <c r="HN230" s="27"/>
      <c r="HO230" s="27"/>
      <c r="HP230" s="27"/>
      <c r="HQ230" s="27"/>
      <c r="HR230" s="27"/>
      <c r="HS230" s="27"/>
      <c r="HT230" s="27"/>
      <c r="HU230" s="27"/>
      <c r="HV230" s="27"/>
      <c r="HW230" s="27"/>
      <c r="HX230" s="27"/>
      <c r="HY230" s="27"/>
      <c r="HZ230" s="27"/>
      <c r="IA230" s="27"/>
      <c r="IB230" s="27"/>
      <c r="IC230" s="27"/>
      <c r="ID230" s="27"/>
      <c r="IE230" s="27"/>
      <c r="IF230" s="27"/>
      <c r="IG230" s="27"/>
      <c r="IH230" s="27"/>
      <c r="II230" s="27"/>
      <c r="IJ230" s="27"/>
      <c r="IK230" s="27"/>
      <c r="IL230" s="27"/>
      <c r="IM230" s="27"/>
      <c r="IN230" s="27"/>
      <c r="IO230" s="27"/>
      <c r="IP230" s="27"/>
      <c r="IQ230" s="27"/>
      <c r="IR230" s="27"/>
    </row>
    <row r="231" spans="1:252" s="7" customFormat="1" ht="36" customHeight="1" x14ac:dyDescent="0.2">
      <c r="A231" s="21" t="s">
        <v>99</v>
      </c>
      <c r="B231" s="22" t="s">
        <v>100</v>
      </c>
      <c r="C231" s="29" t="s">
        <v>77</v>
      </c>
      <c r="D231" s="29" t="s">
        <v>227</v>
      </c>
      <c r="E231" s="28" t="s">
        <v>49</v>
      </c>
      <c r="F231" s="28" t="s">
        <v>228</v>
      </c>
      <c r="G231" s="29" t="s">
        <v>42</v>
      </c>
      <c r="H231" s="29" t="s">
        <v>103</v>
      </c>
      <c r="I231" s="28" t="s">
        <v>104</v>
      </c>
      <c r="J231" s="29" t="s">
        <v>51</v>
      </c>
      <c r="K231" s="61">
        <v>175000</v>
      </c>
      <c r="L231" s="51">
        <v>0</v>
      </c>
      <c r="M231" s="51">
        <v>0</v>
      </c>
      <c r="N231" s="51">
        <v>0</v>
      </c>
      <c r="O231" s="51">
        <f t="shared" si="8"/>
        <v>175000</v>
      </c>
      <c r="P231" s="51"/>
      <c r="Q231" s="51"/>
      <c r="R231" s="51"/>
      <c r="S231" s="51"/>
      <c r="T231" s="51"/>
      <c r="U231" s="51"/>
      <c r="V231" s="51">
        <v>125371.95</v>
      </c>
      <c r="W231" s="51">
        <v>125371.95</v>
      </c>
      <c r="X231" s="52">
        <v>125371.95</v>
      </c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  <c r="FJ231" s="27"/>
      <c r="FK231" s="27"/>
      <c r="FL231" s="27"/>
      <c r="FM231" s="27"/>
      <c r="FN231" s="27"/>
      <c r="FO231" s="27"/>
      <c r="FP231" s="27"/>
      <c r="FQ231" s="27"/>
      <c r="FR231" s="27"/>
      <c r="FS231" s="27"/>
      <c r="FT231" s="27"/>
      <c r="FU231" s="27"/>
      <c r="FV231" s="27"/>
      <c r="FW231" s="27"/>
      <c r="FX231" s="27"/>
      <c r="FY231" s="27"/>
      <c r="FZ231" s="27"/>
      <c r="GA231" s="27"/>
      <c r="GB231" s="27"/>
      <c r="GC231" s="27"/>
      <c r="GD231" s="27"/>
      <c r="GE231" s="27"/>
      <c r="GF231" s="27"/>
      <c r="GG231" s="27"/>
      <c r="GH231" s="27"/>
      <c r="GI231" s="27"/>
      <c r="GJ231" s="27"/>
      <c r="GK231" s="27"/>
      <c r="GL231" s="27"/>
      <c r="GM231" s="27"/>
      <c r="GN231" s="27"/>
      <c r="GO231" s="27"/>
      <c r="GP231" s="27"/>
      <c r="GQ231" s="27"/>
      <c r="GR231" s="27"/>
      <c r="GS231" s="27"/>
      <c r="GT231" s="27"/>
      <c r="GU231" s="27"/>
      <c r="GV231" s="27"/>
      <c r="GW231" s="27"/>
      <c r="GX231" s="27"/>
      <c r="GY231" s="27"/>
      <c r="GZ231" s="27"/>
      <c r="HA231" s="27"/>
      <c r="HB231" s="27"/>
      <c r="HC231" s="27"/>
      <c r="HD231" s="27"/>
      <c r="HE231" s="27"/>
      <c r="HF231" s="27"/>
      <c r="HG231" s="27"/>
      <c r="HH231" s="27"/>
      <c r="HI231" s="27"/>
      <c r="HJ231" s="27"/>
      <c r="HK231" s="27"/>
      <c r="HL231" s="27"/>
      <c r="HM231" s="27"/>
      <c r="HN231" s="27"/>
      <c r="HO231" s="27"/>
      <c r="HP231" s="27"/>
      <c r="HQ231" s="27"/>
      <c r="HR231" s="27"/>
      <c r="HS231" s="27"/>
      <c r="HT231" s="27"/>
      <c r="HU231" s="27"/>
      <c r="HV231" s="27"/>
      <c r="HW231" s="27"/>
      <c r="HX231" s="27"/>
      <c r="HY231" s="27"/>
      <c r="HZ231" s="27"/>
      <c r="IA231" s="27"/>
      <c r="IB231" s="27"/>
      <c r="IC231" s="27"/>
      <c r="ID231" s="27"/>
      <c r="IE231" s="27"/>
      <c r="IF231" s="27"/>
      <c r="IG231" s="27"/>
      <c r="IH231" s="27"/>
      <c r="II231" s="27"/>
      <c r="IJ231" s="27"/>
      <c r="IK231" s="27"/>
      <c r="IL231" s="27"/>
      <c r="IM231" s="27"/>
      <c r="IN231" s="27"/>
      <c r="IO231" s="27"/>
      <c r="IP231" s="27"/>
      <c r="IQ231" s="27"/>
      <c r="IR231" s="27"/>
    </row>
    <row r="232" spans="1:252" s="7" customFormat="1" ht="36" customHeight="1" x14ac:dyDescent="0.2">
      <c r="A232" s="21" t="s">
        <v>99</v>
      </c>
      <c r="B232" s="22" t="s">
        <v>100</v>
      </c>
      <c r="C232" s="29" t="s">
        <v>77</v>
      </c>
      <c r="D232" s="29" t="s">
        <v>227</v>
      </c>
      <c r="E232" s="28" t="s">
        <v>49</v>
      </c>
      <c r="F232" s="28" t="s">
        <v>228</v>
      </c>
      <c r="G232" s="29" t="s">
        <v>42</v>
      </c>
      <c r="H232" s="62" t="s">
        <v>56</v>
      </c>
      <c r="I232" s="65" t="s">
        <v>57</v>
      </c>
      <c r="J232" s="29" t="s">
        <v>51</v>
      </c>
      <c r="K232" s="61">
        <v>0</v>
      </c>
      <c r="L232" s="51">
        <v>105597</v>
      </c>
      <c r="M232" s="51">
        <v>0</v>
      </c>
      <c r="N232" s="51">
        <v>0</v>
      </c>
      <c r="O232" s="51">
        <f t="shared" si="8"/>
        <v>105597</v>
      </c>
      <c r="P232" s="51"/>
      <c r="Q232" s="51"/>
      <c r="R232" s="51"/>
      <c r="S232" s="51"/>
      <c r="T232" s="51"/>
      <c r="U232" s="51"/>
      <c r="V232" s="51">
        <v>6153.98</v>
      </c>
      <c r="W232" s="51">
        <v>6153.98</v>
      </c>
      <c r="X232" s="52">
        <v>6153.98</v>
      </c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  <c r="FJ232" s="27"/>
      <c r="FK232" s="27"/>
      <c r="FL232" s="27"/>
      <c r="FM232" s="27"/>
      <c r="FN232" s="27"/>
      <c r="FO232" s="27"/>
      <c r="FP232" s="27"/>
      <c r="FQ232" s="27"/>
      <c r="FR232" s="27"/>
      <c r="FS232" s="27"/>
      <c r="FT232" s="27"/>
      <c r="FU232" s="27"/>
      <c r="FV232" s="27"/>
      <c r="FW232" s="27"/>
      <c r="FX232" s="27"/>
      <c r="FY232" s="27"/>
      <c r="FZ232" s="27"/>
      <c r="GA232" s="27"/>
      <c r="GB232" s="27"/>
      <c r="GC232" s="27"/>
      <c r="GD232" s="27"/>
      <c r="GE232" s="27"/>
      <c r="GF232" s="27"/>
      <c r="GG232" s="27"/>
      <c r="GH232" s="27"/>
      <c r="GI232" s="27"/>
      <c r="GJ232" s="27"/>
      <c r="GK232" s="27"/>
      <c r="GL232" s="27"/>
      <c r="GM232" s="27"/>
      <c r="GN232" s="27"/>
      <c r="GO232" s="27"/>
      <c r="GP232" s="27"/>
      <c r="GQ232" s="27"/>
      <c r="GR232" s="27"/>
      <c r="GS232" s="27"/>
      <c r="GT232" s="27"/>
      <c r="GU232" s="27"/>
      <c r="GV232" s="27"/>
      <c r="GW232" s="27"/>
      <c r="GX232" s="27"/>
      <c r="GY232" s="27"/>
      <c r="GZ232" s="27"/>
      <c r="HA232" s="27"/>
      <c r="HB232" s="27"/>
      <c r="HC232" s="27"/>
      <c r="HD232" s="27"/>
      <c r="HE232" s="27"/>
      <c r="HF232" s="27"/>
      <c r="HG232" s="27"/>
      <c r="HH232" s="27"/>
      <c r="HI232" s="27"/>
      <c r="HJ232" s="27"/>
      <c r="HK232" s="27"/>
      <c r="HL232" s="27"/>
      <c r="HM232" s="27"/>
      <c r="HN232" s="27"/>
      <c r="HO232" s="27"/>
      <c r="HP232" s="27"/>
      <c r="HQ232" s="27"/>
      <c r="HR232" s="27"/>
      <c r="HS232" s="27"/>
      <c r="HT232" s="27"/>
      <c r="HU232" s="27"/>
      <c r="HV232" s="27"/>
      <c r="HW232" s="27"/>
      <c r="HX232" s="27"/>
      <c r="HY232" s="27"/>
      <c r="HZ232" s="27"/>
      <c r="IA232" s="27"/>
      <c r="IB232" s="27"/>
      <c r="IC232" s="27"/>
      <c r="ID232" s="27"/>
      <c r="IE232" s="27"/>
      <c r="IF232" s="27"/>
      <c r="IG232" s="27"/>
      <c r="IH232" s="27"/>
      <c r="II232" s="27"/>
      <c r="IJ232" s="27"/>
      <c r="IK232" s="27"/>
      <c r="IL232" s="27"/>
      <c r="IM232" s="27"/>
      <c r="IN232" s="27"/>
      <c r="IO232" s="27"/>
      <c r="IP232" s="27"/>
      <c r="IQ232" s="27"/>
      <c r="IR232" s="27"/>
    </row>
    <row r="233" spans="1:252" s="67" customFormat="1" ht="21" customHeight="1" thickBot="1" x14ac:dyDescent="0.25">
      <c r="A233" s="118" t="s">
        <v>229</v>
      </c>
      <c r="B233" s="119"/>
      <c r="C233" s="119"/>
      <c r="D233" s="119"/>
      <c r="E233" s="119"/>
      <c r="F233" s="119"/>
      <c r="G233" s="119"/>
      <c r="H233" s="119"/>
      <c r="I233" s="119"/>
      <c r="J233" s="120"/>
      <c r="K233" s="56">
        <f>SUM(K90:K232)</f>
        <v>119349425</v>
      </c>
      <c r="L233" s="56">
        <f t="shared" ref="L233:X233" si="10">SUM(L90:L232)</f>
        <v>32620182.169999998</v>
      </c>
      <c r="M233" s="56">
        <f t="shared" si="10"/>
        <v>0</v>
      </c>
      <c r="N233" s="56">
        <f t="shared" si="10"/>
        <v>-3665904.54</v>
      </c>
      <c r="O233" s="56">
        <f t="shared" si="10"/>
        <v>148303702.63</v>
      </c>
      <c r="P233" s="56">
        <f t="shared" si="10"/>
        <v>85426482.839999974</v>
      </c>
      <c r="Q233" s="56">
        <f t="shared" si="10"/>
        <v>85426482.839999974</v>
      </c>
      <c r="R233" s="56">
        <f t="shared" si="10"/>
        <v>70382553.699999988</v>
      </c>
      <c r="S233" s="56">
        <f t="shared" si="10"/>
        <v>12370872.489999998</v>
      </c>
      <c r="T233" s="56">
        <f t="shared" si="10"/>
        <v>12370872.489999998</v>
      </c>
      <c r="U233" s="56">
        <f t="shared" si="10"/>
        <v>11403101.780000001</v>
      </c>
      <c r="V233" s="56">
        <f t="shared" si="10"/>
        <v>33336745.100000005</v>
      </c>
      <c r="W233" s="56">
        <f t="shared" si="10"/>
        <v>33336745.100000005</v>
      </c>
      <c r="X233" s="57">
        <f t="shared" si="10"/>
        <v>31720954.310000002</v>
      </c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66"/>
      <c r="IC233" s="66"/>
      <c r="ID233" s="66"/>
      <c r="IE233" s="66"/>
      <c r="IF233" s="66"/>
      <c r="IG233" s="66"/>
      <c r="IH233" s="66"/>
      <c r="II233" s="66"/>
      <c r="IJ233" s="66"/>
      <c r="IK233" s="66"/>
      <c r="IL233" s="66"/>
      <c r="IM233" s="66"/>
      <c r="IN233" s="66"/>
      <c r="IO233" s="66"/>
      <c r="IP233" s="66"/>
      <c r="IQ233" s="66"/>
      <c r="IR233" s="66"/>
    </row>
    <row r="234" spans="1:252" s="67" customFormat="1" ht="21" customHeight="1" thickBot="1" x14ac:dyDescent="0.25">
      <c r="A234" s="106" t="s">
        <v>230</v>
      </c>
      <c r="B234" s="107"/>
      <c r="C234" s="107"/>
      <c r="D234" s="107"/>
      <c r="E234" s="107"/>
      <c r="F234" s="107"/>
      <c r="G234" s="107"/>
      <c r="H234" s="107"/>
      <c r="I234" s="107"/>
      <c r="J234" s="108"/>
      <c r="K234" s="68">
        <f t="shared" ref="K234:X234" si="11">K89+K233</f>
        <v>129289320</v>
      </c>
      <c r="L234" s="68">
        <f t="shared" si="11"/>
        <v>39166875.269999996</v>
      </c>
      <c r="M234" s="68">
        <f t="shared" si="11"/>
        <v>0</v>
      </c>
      <c r="N234" s="68">
        <f t="shared" si="11"/>
        <v>-14571535.140000001</v>
      </c>
      <c r="O234" s="68">
        <f t="shared" si="11"/>
        <v>153884660.13</v>
      </c>
      <c r="P234" s="68">
        <f t="shared" si="11"/>
        <v>85426482.839999974</v>
      </c>
      <c r="Q234" s="68">
        <f t="shared" si="11"/>
        <v>85426482.839999974</v>
      </c>
      <c r="R234" s="68">
        <f t="shared" si="11"/>
        <v>70382553.699999988</v>
      </c>
      <c r="S234" s="68">
        <f t="shared" si="11"/>
        <v>12370872.489999998</v>
      </c>
      <c r="T234" s="68">
        <f t="shared" si="11"/>
        <v>12370872.489999998</v>
      </c>
      <c r="U234" s="68">
        <f t="shared" si="11"/>
        <v>11403101.780000001</v>
      </c>
      <c r="V234" s="68">
        <f t="shared" si="11"/>
        <v>34307542.130000003</v>
      </c>
      <c r="W234" s="68">
        <f t="shared" si="11"/>
        <v>34307542.130000003</v>
      </c>
      <c r="X234" s="69">
        <f t="shared" si="11"/>
        <v>32236501.340000004</v>
      </c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66"/>
      <c r="IC234" s="66"/>
      <c r="ID234" s="66"/>
      <c r="IE234" s="66"/>
      <c r="IF234" s="66"/>
      <c r="IG234" s="66"/>
      <c r="IH234" s="66"/>
      <c r="II234" s="66"/>
      <c r="IJ234" s="66"/>
      <c r="IK234" s="66"/>
      <c r="IL234" s="66"/>
      <c r="IM234" s="66"/>
      <c r="IN234" s="66"/>
      <c r="IO234" s="66"/>
      <c r="IP234" s="66"/>
      <c r="IQ234" s="66"/>
      <c r="IR234" s="66"/>
    </row>
    <row r="235" spans="1:252" s="67" customFormat="1" ht="12" customHeight="1" thickBot="1" x14ac:dyDescent="0.25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66"/>
      <c r="IC235" s="66"/>
      <c r="ID235" s="66"/>
      <c r="IE235" s="66"/>
      <c r="IF235" s="66"/>
      <c r="IG235" s="66"/>
      <c r="IH235" s="66"/>
      <c r="II235" s="66"/>
      <c r="IJ235" s="66"/>
      <c r="IK235" s="66"/>
      <c r="IL235" s="66"/>
      <c r="IM235" s="66"/>
      <c r="IN235" s="66"/>
      <c r="IO235" s="66"/>
      <c r="IP235" s="66"/>
      <c r="IQ235" s="66"/>
      <c r="IR235" s="66"/>
    </row>
    <row r="236" spans="1:252" s="67" customFormat="1" ht="24" customHeight="1" thickBot="1" x14ac:dyDescent="0.25">
      <c r="A236" s="106" t="s">
        <v>231</v>
      </c>
      <c r="B236" s="107"/>
      <c r="C236" s="107"/>
      <c r="D236" s="107"/>
      <c r="E236" s="107"/>
      <c r="F236" s="107"/>
      <c r="G236" s="107"/>
      <c r="H236" s="107"/>
      <c r="I236" s="107"/>
      <c r="J236" s="108"/>
      <c r="K236" s="68">
        <f t="shared" ref="K236:X236" si="12">K62+K89</f>
        <v>1003728029</v>
      </c>
      <c r="L236" s="68">
        <f t="shared" si="12"/>
        <v>46697720.099999994</v>
      </c>
      <c r="M236" s="68">
        <f t="shared" si="12"/>
        <v>0</v>
      </c>
      <c r="N236" s="68">
        <f t="shared" si="12"/>
        <v>-13226263.5</v>
      </c>
      <c r="O236" s="68">
        <f t="shared" si="12"/>
        <v>1037199485.5999999</v>
      </c>
      <c r="P236" s="68">
        <f t="shared" si="12"/>
        <v>731232917.23999989</v>
      </c>
      <c r="Q236" s="68">
        <f t="shared" si="12"/>
        <v>731232917.23999989</v>
      </c>
      <c r="R236" s="68">
        <f t="shared" si="12"/>
        <v>722804346.39999998</v>
      </c>
      <c r="S236" s="68">
        <f t="shared" si="12"/>
        <v>97010592.329999998</v>
      </c>
      <c r="T236" s="68">
        <f t="shared" si="12"/>
        <v>97010592.329999998</v>
      </c>
      <c r="U236" s="68">
        <f t="shared" si="12"/>
        <v>96079076.709999993</v>
      </c>
      <c r="V236" s="68">
        <f t="shared" si="12"/>
        <v>188515991.94</v>
      </c>
      <c r="W236" s="68">
        <f t="shared" si="12"/>
        <v>188515991.94</v>
      </c>
      <c r="X236" s="69">
        <f t="shared" si="12"/>
        <v>185457509.28999999</v>
      </c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66"/>
      <c r="IC236" s="66"/>
      <c r="ID236" s="66"/>
      <c r="IE236" s="66"/>
      <c r="IF236" s="66"/>
      <c r="IG236" s="66"/>
      <c r="IH236" s="66"/>
      <c r="II236" s="66"/>
      <c r="IJ236" s="66"/>
      <c r="IK236" s="66"/>
      <c r="IL236" s="66"/>
      <c r="IM236" s="66"/>
      <c r="IN236" s="66"/>
      <c r="IO236" s="66"/>
      <c r="IP236" s="66"/>
      <c r="IQ236" s="66"/>
      <c r="IR236" s="66"/>
    </row>
    <row r="237" spans="1:252" s="67" customFormat="1" ht="24" customHeight="1" thickBot="1" x14ac:dyDescent="0.25">
      <c r="A237" s="106" t="s">
        <v>232</v>
      </c>
      <c r="B237" s="107"/>
      <c r="C237" s="107"/>
      <c r="D237" s="107"/>
      <c r="E237" s="107"/>
      <c r="F237" s="107"/>
      <c r="G237" s="107"/>
      <c r="H237" s="107"/>
      <c r="I237" s="107"/>
      <c r="J237" s="108"/>
      <c r="K237" s="68">
        <f t="shared" ref="K237:X237" si="13">K80+K233</f>
        <v>165691262</v>
      </c>
      <c r="L237" s="68">
        <f t="shared" si="13"/>
        <v>38915182.170000002</v>
      </c>
      <c r="M237" s="68">
        <f t="shared" si="13"/>
        <v>0</v>
      </c>
      <c r="N237" s="68">
        <f t="shared" si="13"/>
        <v>-3665904.54</v>
      </c>
      <c r="O237" s="68">
        <f t="shared" si="13"/>
        <v>200940539.63</v>
      </c>
      <c r="P237" s="68">
        <f t="shared" si="13"/>
        <v>122794009.02999997</v>
      </c>
      <c r="Q237" s="68">
        <f t="shared" si="13"/>
        <v>122794009.02999997</v>
      </c>
      <c r="R237" s="68">
        <f t="shared" si="13"/>
        <v>107433563.88999999</v>
      </c>
      <c r="S237" s="68">
        <f t="shared" si="13"/>
        <v>14483920.069999998</v>
      </c>
      <c r="T237" s="68">
        <f t="shared" si="13"/>
        <v>14483920.069999998</v>
      </c>
      <c r="U237" s="68">
        <f t="shared" si="13"/>
        <v>13408581.360000001</v>
      </c>
      <c r="V237" s="68">
        <f t="shared" si="13"/>
        <v>40735889.130000003</v>
      </c>
      <c r="W237" s="68">
        <f t="shared" si="13"/>
        <v>40735889.130000003</v>
      </c>
      <c r="X237" s="69">
        <f t="shared" si="13"/>
        <v>38691168.340000004</v>
      </c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66"/>
      <c r="IC237" s="66"/>
      <c r="ID237" s="66"/>
      <c r="IE237" s="66"/>
      <c r="IF237" s="66"/>
      <c r="IG237" s="66"/>
      <c r="IH237" s="66"/>
      <c r="II237" s="66"/>
      <c r="IJ237" s="66"/>
      <c r="IK237" s="66"/>
      <c r="IL237" s="66"/>
      <c r="IM237" s="66"/>
      <c r="IN237" s="66"/>
      <c r="IO237" s="66"/>
      <c r="IP237" s="66"/>
      <c r="IQ237" s="66"/>
      <c r="IR237" s="66"/>
    </row>
    <row r="238" spans="1:252" s="7" customFormat="1" ht="24" customHeight="1" thickBot="1" x14ac:dyDescent="0.25">
      <c r="A238" s="128" t="s">
        <v>233</v>
      </c>
      <c r="B238" s="129"/>
      <c r="C238" s="129"/>
      <c r="D238" s="129"/>
      <c r="E238" s="129"/>
      <c r="F238" s="129"/>
      <c r="G238" s="129"/>
      <c r="H238" s="129"/>
      <c r="I238" s="129"/>
      <c r="J238" s="130"/>
      <c r="K238" s="72">
        <f t="shared" ref="K238:X238" si="14">SUM(K236:K237)</f>
        <v>1169419291</v>
      </c>
      <c r="L238" s="72">
        <f t="shared" si="14"/>
        <v>85612902.269999996</v>
      </c>
      <c r="M238" s="72">
        <f t="shared" si="14"/>
        <v>0</v>
      </c>
      <c r="N238" s="72">
        <f t="shared" si="14"/>
        <v>-16892168.039999999</v>
      </c>
      <c r="O238" s="72">
        <f t="shared" si="14"/>
        <v>1238140025.23</v>
      </c>
      <c r="P238" s="72">
        <f t="shared" si="14"/>
        <v>854026926.26999986</v>
      </c>
      <c r="Q238" s="72">
        <f t="shared" si="14"/>
        <v>854026926.26999986</v>
      </c>
      <c r="R238" s="72">
        <f t="shared" si="14"/>
        <v>830237910.28999996</v>
      </c>
      <c r="S238" s="72">
        <f t="shared" si="14"/>
        <v>111494512.39999999</v>
      </c>
      <c r="T238" s="72">
        <f t="shared" si="14"/>
        <v>111494512.39999999</v>
      </c>
      <c r="U238" s="72">
        <f t="shared" si="14"/>
        <v>109487658.06999999</v>
      </c>
      <c r="V238" s="72">
        <f t="shared" si="14"/>
        <v>229251881.06999999</v>
      </c>
      <c r="W238" s="72">
        <f t="shared" si="14"/>
        <v>229251881.06999999</v>
      </c>
      <c r="X238" s="73">
        <f t="shared" si="14"/>
        <v>224148677.63</v>
      </c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</row>
    <row r="239" spans="1:252" s="7" customFormat="1" x14ac:dyDescent="0.2">
      <c r="A239" s="5"/>
      <c r="B239" s="4" t="s">
        <v>234</v>
      </c>
      <c r="C239" s="5"/>
      <c r="D239" s="5"/>
      <c r="E239" s="4"/>
      <c r="F239" s="4"/>
      <c r="G239" s="5"/>
      <c r="H239" s="6"/>
      <c r="I239" s="4"/>
      <c r="J239" s="6"/>
      <c r="K239" s="5"/>
      <c r="L239" s="5"/>
      <c r="M239" s="5"/>
      <c r="N239" s="5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</row>
    <row r="240" spans="1:252" s="7" customFormat="1" x14ac:dyDescent="0.2">
      <c r="A240" s="5"/>
      <c r="B240" s="4" t="s">
        <v>235</v>
      </c>
      <c r="C240" s="5"/>
      <c r="D240" s="5"/>
      <c r="E240" s="4"/>
      <c r="F240" s="4"/>
      <c r="G240" s="5"/>
      <c r="H240" s="6"/>
      <c r="I240" s="4"/>
      <c r="J240" s="6"/>
      <c r="K240" s="5"/>
      <c r="L240" s="5"/>
      <c r="M240" s="5"/>
      <c r="N240" s="74"/>
      <c r="P240" s="1"/>
      <c r="Q240" s="1"/>
      <c r="R240" s="1"/>
      <c r="S240" s="1"/>
      <c r="T240" s="1"/>
      <c r="U240" s="1"/>
      <c r="V240" s="75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</row>
    <row r="241" spans="1:252" s="7" customFormat="1" ht="12.75" customHeight="1" x14ac:dyDescent="0.2">
      <c r="A241" s="5" t="s">
        <v>236</v>
      </c>
      <c r="B241" s="4" t="s">
        <v>237</v>
      </c>
      <c r="C241" s="5"/>
      <c r="D241" s="5"/>
      <c r="E241" s="4"/>
      <c r="F241" s="4"/>
      <c r="G241" s="5"/>
      <c r="H241" s="6"/>
      <c r="I241" s="4"/>
      <c r="J241" s="6"/>
      <c r="K241" s="5"/>
      <c r="L241" s="5"/>
      <c r="M241" s="5"/>
      <c r="N241" s="5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</row>
    <row r="242" spans="1:252" s="7" customFormat="1" x14ac:dyDescent="0.2">
      <c r="A242" s="1"/>
      <c r="B242" s="4" t="s">
        <v>238</v>
      </c>
      <c r="C242" s="5"/>
      <c r="D242" s="5"/>
      <c r="E242" s="4"/>
      <c r="F242" s="76"/>
      <c r="G242" s="1"/>
      <c r="H242" s="77"/>
      <c r="I242" s="76"/>
      <c r="J242" s="77"/>
      <c r="K242" s="1"/>
      <c r="L242" s="1"/>
      <c r="M242" s="1"/>
      <c r="N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</row>
    <row r="243" spans="1:252" s="7" customFormat="1" x14ac:dyDescent="0.2">
      <c r="A243" s="78"/>
      <c r="B243" s="79"/>
      <c r="C243" s="78"/>
      <c r="D243" s="1"/>
      <c r="E243" s="76"/>
      <c r="F243" s="76"/>
      <c r="G243" s="1"/>
      <c r="H243" s="77"/>
      <c r="I243" s="76"/>
      <c r="J243" s="77"/>
      <c r="K243" s="74"/>
      <c r="L243" s="80"/>
      <c r="M243" s="74"/>
      <c r="N243" s="74"/>
      <c r="P243" s="81"/>
      <c r="Q243" s="81"/>
      <c r="R243" s="81"/>
      <c r="S243" s="1"/>
      <c r="T243" s="1"/>
      <c r="U243" s="1"/>
      <c r="V243" s="75"/>
      <c r="W243" s="75"/>
      <c r="X243" s="75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</row>
    <row r="244" spans="1:252" x14ac:dyDescent="0.2">
      <c r="K244" s="74"/>
      <c r="L244" s="80"/>
      <c r="M244" s="74"/>
      <c r="N244" s="74"/>
      <c r="V244" s="75"/>
      <c r="W244" s="75"/>
      <c r="X244" s="75"/>
    </row>
    <row r="245" spans="1:252" s="7" customFormat="1" x14ac:dyDescent="0.2">
      <c r="A245" s="1"/>
      <c r="B245" s="76"/>
      <c r="C245" s="78"/>
      <c r="D245" s="1"/>
      <c r="E245" s="76"/>
      <c r="F245" s="131"/>
      <c r="G245" s="1"/>
      <c r="H245" s="82"/>
      <c r="I245" s="76"/>
      <c r="J245" s="132"/>
      <c r="K245" s="83"/>
      <c r="L245" s="83"/>
      <c r="M245" s="83"/>
      <c r="N245" s="83"/>
      <c r="P245" s="74"/>
      <c r="Q245" s="74"/>
      <c r="R245" s="74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</row>
    <row r="246" spans="1:252" s="7" customFormat="1" x14ac:dyDescent="0.2">
      <c r="A246" s="1"/>
      <c r="B246" s="76"/>
      <c r="C246" s="78"/>
      <c r="D246" s="1"/>
      <c r="E246" s="76"/>
      <c r="F246" s="131"/>
      <c r="G246" s="1"/>
      <c r="H246" s="82"/>
      <c r="I246" s="76"/>
      <c r="J246" s="132"/>
      <c r="K246" s="83"/>
      <c r="L246" s="83"/>
      <c r="M246" s="83"/>
      <c r="N246" s="83"/>
      <c r="P246" s="84"/>
      <c r="Q246" s="84"/>
      <c r="R246" s="84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</row>
    <row r="247" spans="1:252" ht="15" x14ac:dyDescent="0.2">
      <c r="F247" s="131"/>
      <c r="J247" s="85"/>
      <c r="K247" s="86"/>
      <c r="L247" s="86"/>
      <c r="M247" s="86"/>
      <c r="N247" s="86"/>
      <c r="P247" s="84"/>
    </row>
    <row r="248" spans="1:252" ht="15" x14ac:dyDescent="0.2">
      <c r="F248" s="131"/>
      <c r="J248" s="85"/>
      <c r="K248" s="74"/>
      <c r="L248" s="74"/>
      <c r="M248" s="74"/>
      <c r="N248" s="74"/>
      <c r="P248" s="81"/>
      <c r="Q248" s="81"/>
      <c r="R248" s="81"/>
      <c r="V248" s="84"/>
      <c r="W248" s="84"/>
      <c r="X248" s="84"/>
    </row>
    <row r="249" spans="1:252" x14ac:dyDescent="0.2">
      <c r="F249" s="131"/>
      <c r="H249" s="82"/>
      <c r="J249" s="132"/>
      <c r="K249" s="83"/>
      <c r="L249" s="83"/>
      <c r="M249" s="83"/>
      <c r="N249" s="83"/>
    </row>
    <row r="250" spans="1:252" x14ac:dyDescent="0.2">
      <c r="F250" s="131"/>
      <c r="H250" s="82"/>
      <c r="J250" s="132"/>
      <c r="K250" s="83"/>
      <c r="L250" s="83"/>
      <c r="M250" s="83"/>
      <c r="N250" s="83"/>
    </row>
    <row r="251" spans="1:252" x14ac:dyDescent="0.2">
      <c r="F251" s="131"/>
      <c r="K251" s="86"/>
      <c r="L251" s="86"/>
      <c r="M251" s="86"/>
      <c r="N251" s="86"/>
    </row>
    <row r="252" spans="1:252" x14ac:dyDescent="0.2">
      <c r="K252" s="87"/>
      <c r="L252" s="87"/>
      <c r="M252" s="87"/>
      <c r="N252" s="87"/>
    </row>
    <row r="253" spans="1:252" x14ac:dyDescent="0.2">
      <c r="K253" s="88"/>
      <c r="L253" s="88"/>
      <c r="M253" s="88"/>
      <c r="N253" s="88"/>
    </row>
    <row r="254" spans="1:252" s="7" customFormat="1" x14ac:dyDescent="0.2">
      <c r="A254" s="1"/>
      <c r="B254" s="76"/>
      <c r="C254" s="1"/>
      <c r="D254" s="1"/>
      <c r="E254" s="76"/>
      <c r="F254" s="76"/>
      <c r="G254" s="1"/>
      <c r="H254" s="77"/>
      <c r="I254" s="76"/>
      <c r="J254" s="77"/>
      <c r="K254" s="74"/>
      <c r="L254" s="74"/>
      <c r="M254" s="74"/>
      <c r="N254" s="74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</row>
  </sheetData>
  <mergeCells count="32">
    <mergeCell ref="F245:F251"/>
    <mergeCell ref="J245:J246"/>
    <mergeCell ref="J249:J250"/>
    <mergeCell ref="A89:J89"/>
    <mergeCell ref="A233:J233"/>
    <mergeCell ref="A236:J236"/>
    <mergeCell ref="A237:J237"/>
    <mergeCell ref="A238:J238"/>
    <mergeCell ref="A234:J234"/>
    <mergeCell ref="J13:J14"/>
    <mergeCell ref="P13:R13"/>
    <mergeCell ref="S13:U13"/>
    <mergeCell ref="V13:X13"/>
    <mergeCell ref="A15:X15"/>
    <mergeCell ref="A62:J62"/>
    <mergeCell ref="A13:B13"/>
    <mergeCell ref="C13:C14"/>
    <mergeCell ref="D13:D14"/>
    <mergeCell ref="E13:F13"/>
    <mergeCell ref="G13:G14"/>
    <mergeCell ref="H13:I13"/>
    <mergeCell ref="A80:J80"/>
    <mergeCell ref="A81:J81"/>
    <mergeCell ref="A83:X83"/>
    <mergeCell ref="A12:J12"/>
    <mergeCell ref="K12:O12"/>
    <mergeCell ref="P12:X12"/>
    <mergeCell ref="A4:X4"/>
    <mergeCell ref="A5:X5"/>
    <mergeCell ref="A6:X6"/>
    <mergeCell ref="A7:X7"/>
    <mergeCell ref="A9:X9"/>
  </mergeCells>
  <printOptions horizontalCentered="1"/>
  <pageMargins left="0" right="0" top="0.31496062992125984" bottom="0.31496062992125984" header="0.11811023622047245" footer="0.11811023622047245"/>
  <pageSetup paperSize="9" scale="47" orientation="landscape" r:id="rId1"/>
  <headerFooter>
    <oddFooter>Página &amp;P de &amp;N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5</xdr:col>
                <xdr:colOff>2009775</xdr:colOff>
                <xdr:row>0</xdr:row>
                <xdr:rowOff>38100</xdr:rowOff>
              </from>
              <to>
                <xdr:col>5</xdr:col>
                <xdr:colOff>2409825</xdr:colOff>
                <xdr:row>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 moveWithCells="1" sizeWithCells="1">
              <from>
                <xdr:col>13</xdr:col>
                <xdr:colOff>171450</xdr:colOff>
                <xdr:row>0</xdr:row>
                <xdr:rowOff>28575</xdr:rowOff>
              </from>
              <to>
                <xdr:col>13</xdr:col>
                <xdr:colOff>571500</xdr:colOff>
                <xdr:row>2</xdr:row>
                <xdr:rowOff>114300</xdr:rowOff>
              </to>
            </anchor>
          </objectPr>
        </oleObject>
      </mc:Choice>
      <mc:Fallback>
        <oleObject progId="Word.Picture.8" shapeId="1026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FDB0DC5802064F9F397F5BB6967557" ma:contentTypeVersion="8" ma:contentTypeDescription="Crie um novo documento." ma:contentTypeScope="" ma:versionID="cb9a9f915cc83becefc22fe6a83d3778">
  <xsd:schema xmlns:xsd="http://www.w3.org/2001/XMLSchema" xmlns:xs="http://www.w3.org/2001/XMLSchema" xmlns:p="http://schemas.microsoft.com/office/2006/metadata/properties" xmlns:ns2="bf0a519a-f0d7-4b7f-ba2f-cdea6954352d" targetNamespace="http://schemas.microsoft.com/office/2006/metadata/properties" ma:root="true" ma:fieldsID="9da8069797ee8f59d591614c28019ef0" ns2:_="">
    <xsd:import namespace="bf0a519a-f0d7-4b7f-ba2f-cdea695435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a519a-f0d7-4b7f-ba2f-cdea695435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2BFB5F-EB9F-4318-A370-DACC4D1060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0a519a-f0d7-4b7f-ba2f-cdea695435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02C8F2-5302-4483-9262-453F71675B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BA10F7-A3DF-48DD-84EB-5AF52391809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MDEO 2019 </vt:lpstr>
      <vt:lpstr>'MDEO 2019 '!Area_de_impressao</vt:lpstr>
      <vt:lpstr>'MDEO 2019 '!Titulos_de_impressao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dcterms:created xsi:type="dcterms:W3CDTF">2020-01-29T13:13:10Z</dcterms:created>
  <dcterms:modified xsi:type="dcterms:W3CDTF">2020-01-29T15:03:03Z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0x0101008FFDB0DC5802064F9F397F5BB6967557</vt:lpwstr>
  </property>
</Properties>
</file>