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jane.mesquita\TJEPA\SAEO - General\COORDENADORIA DE ORÇAMENTO\"/>
    </mc:Choice>
  </mc:AlternateContent>
  <bookViews>
    <workbookView xWindow="0" yWindow="0" windowWidth="28800" windowHeight="11445"/>
  </bookViews>
  <sheets>
    <sheet name="Novembro 2019" sheetId="1" r:id="rId1"/>
  </sheets>
  <definedNames>
    <definedName name="_xlnm.Print_Area" localSheetId="0">'Novembro 2019'!$A$1:$X$388</definedName>
    <definedName name="_xlnm.Print_Titles" localSheetId="0">'Novembro 2019'!$1:$11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9" i="1" l="1"/>
  <c r="V369" i="1"/>
  <c r="U369" i="1"/>
  <c r="S369" i="1"/>
  <c r="R369" i="1"/>
  <c r="N369" i="1"/>
  <c r="W368" i="1"/>
  <c r="U368" i="1"/>
  <c r="S368" i="1"/>
  <c r="Q368" i="1"/>
  <c r="P368" i="1"/>
  <c r="O368" i="1"/>
  <c r="N368" i="1"/>
  <c r="M368" i="1"/>
  <c r="L368" i="1"/>
  <c r="K368" i="1"/>
  <c r="X366" i="1"/>
  <c r="W366" i="1"/>
  <c r="U366" i="1"/>
  <c r="T366" i="1"/>
  <c r="S366" i="1"/>
  <c r="R366" i="1"/>
  <c r="V366" i="1" s="1"/>
  <c r="N366" i="1"/>
  <c r="X365" i="1"/>
  <c r="W365" i="1"/>
  <c r="U365" i="1"/>
  <c r="T365" i="1"/>
  <c r="S365" i="1"/>
  <c r="R365" i="1"/>
  <c r="V365" i="1" s="1"/>
  <c r="Q365" i="1"/>
  <c r="P365" i="1"/>
  <c r="O365" i="1"/>
  <c r="N365" i="1"/>
  <c r="M365" i="1"/>
  <c r="L365" i="1"/>
  <c r="K365" i="1"/>
  <c r="W363" i="1"/>
  <c r="V363" i="1"/>
  <c r="U363" i="1"/>
  <c r="S363" i="1"/>
  <c r="R363" i="1"/>
  <c r="L363" i="1"/>
  <c r="N363" i="1" s="1"/>
  <c r="W362" i="1"/>
  <c r="U362" i="1"/>
  <c r="S362" i="1"/>
  <c r="N362" i="1"/>
  <c r="W361" i="1"/>
  <c r="S361" i="1"/>
  <c r="Q361" i="1"/>
  <c r="P361" i="1"/>
  <c r="O361" i="1"/>
  <c r="M361" i="1"/>
  <c r="L361" i="1"/>
  <c r="K361" i="1"/>
  <c r="W359" i="1"/>
  <c r="U359" i="1"/>
  <c r="S359" i="1"/>
  <c r="O359" i="1"/>
  <c r="L359" i="1"/>
  <c r="W358" i="1"/>
  <c r="U358" i="1"/>
  <c r="S358" i="1"/>
  <c r="K358" i="1"/>
  <c r="N357" i="1"/>
  <c r="R357" i="1" s="1"/>
  <c r="V357" i="1" s="1"/>
  <c r="W356" i="1"/>
  <c r="Q356" i="1"/>
  <c r="P356" i="1"/>
  <c r="O356" i="1"/>
  <c r="M356" i="1"/>
  <c r="W354" i="1"/>
  <c r="W352" i="1" s="1"/>
  <c r="U354" i="1"/>
  <c r="S354" i="1"/>
  <c r="L354" i="1"/>
  <c r="L352" i="1" s="1"/>
  <c r="W353" i="1"/>
  <c r="U353" i="1"/>
  <c r="S353" i="1"/>
  <c r="R353" i="1"/>
  <c r="N353" i="1"/>
  <c r="Q352" i="1"/>
  <c r="P352" i="1"/>
  <c r="O352" i="1"/>
  <c r="M352" i="1"/>
  <c r="K352" i="1"/>
  <c r="W350" i="1"/>
  <c r="U350" i="1"/>
  <c r="S350" i="1"/>
  <c r="R350" i="1"/>
  <c r="V350" i="1" s="1"/>
  <c r="L350" i="1"/>
  <c r="N350" i="1" s="1"/>
  <c r="W349" i="1"/>
  <c r="U349" i="1"/>
  <c r="S349" i="1"/>
  <c r="N349" i="1"/>
  <c r="W348" i="1"/>
  <c r="Q348" i="1"/>
  <c r="P348" i="1"/>
  <c r="O348" i="1"/>
  <c r="M348" i="1"/>
  <c r="L348" i="1"/>
  <c r="K348" i="1"/>
  <c r="W346" i="1"/>
  <c r="X346" i="1" s="1"/>
  <c r="U346" i="1"/>
  <c r="S346" i="1"/>
  <c r="R346" i="1"/>
  <c r="R344" i="1" s="1"/>
  <c r="N346" i="1"/>
  <c r="L346" i="1"/>
  <c r="W345" i="1"/>
  <c r="V345" i="1"/>
  <c r="U345" i="1"/>
  <c r="S345" i="1"/>
  <c r="R345" i="1"/>
  <c r="N345" i="1"/>
  <c r="Q344" i="1"/>
  <c r="P344" i="1"/>
  <c r="O344" i="1"/>
  <c r="N344" i="1"/>
  <c r="M344" i="1"/>
  <c r="L344" i="1"/>
  <c r="K344" i="1"/>
  <c r="W342" i="1"/>
  <c r="V342" i="1"/>
  <c r="U342" i="1"/>
  <c r="S342" i="1"/>
  <c r="R342" i="1"/>
  <c r="N342" i="1"/>
  <c r="W341" i="1"/>
  <c r="U341" i="1"/>
  <c r="S341" i="1"/>
  <c r="R341" i="1"/>
  <c r="Q341" i="1"/>
  <c r="P341" i="1"/>
  <c r="O341" i="1"/>
  <c r="N341" i="1"/>
  <c r="M341" i="1"/>
  <c r="L341" i="1"/>
  <c r="K341" i="1"/>
  <c r="X339" i="1"/>
  <c r="W339" i="1"/>
  <c r="U339" i="1"/>
  <c r="T339" i="1"/>
  <c r="S339" i="1"/>
  <c r="O339" i="1"/>
  <c r="N339" i="1"/>
  <c r="R339" i="1" s="1"/>
  <c r="V339" i="1" s="1"/>
  <c r="L339" i="1"/>
  <c r="W338" i="1"/>
  <c r="U338" i="1"/>
  <c r="S338" i="1"/>
  <c r="L338" i="1"/>
  <c r="W337" i="1"/>
  <c r="U337" i="1"/>
  <c r="S337" i="1"/>
  <c r="L337" i="1"/>
  <c r="K337" i="1"/>
  <c r="U336" i="1"/>
  <c r="Q336" i="1"/>
  <c r="P336" i="1"/>
  <c r="O336" i="1"/>
  <c r="M336" i="1"/>
  <c r="W334" i="1"/>
  <c r="U334" i="1"/>
  <c r="S334" i="1"/>
  <c r="R334" i="1"/>
  <c r="N334" i="1"/>
  <c r="L334" i="1"/>
  <c r="W333" i="1"/>
  <c r="U333" i="1"/>
  <c r="S333" i="1"/>
  <c r="O333" i="1"/>
  <c r="L333" i="1"/>
  <c r="W332" i="1"/>
  <c r="U332" i="1"/>
  <c r="S332" i="1"/>
  <c r="K332" i="1"/>
  <c r="N332" i="1" s="1"/>
  <c r="R331" i="1"/>
  <c r="N331" i="1"/>
  <c r="Q330" i="1"/>
  <c r="P330" i="1"/>
  <c r="O330" i="1"/>
  <c r="M330" i="1"/>
  <c r="K330" i="1"/>
  <c r="Q328" i="1"/>
  <c r="L328" i="1"/>
  <c r="N328" i="1" s="1"/>
  <c r="R328" i="1" s="1"/>
  <c r="W327" i="1"/>
  <c r="U327" i="1"/>
  <c r="S327" i="1"/>
  <c r="Q327" i="1"/>
  <c r="R327" i="1" s="1"/>
  <c r="N327" i="1"/>
  <c r="K327" i="1"/>
  <c r="L326" i="1"/>
  <c r="N326" i="1" s="1"/>
  <c r="W325" i="1"/>
  <c r="U325" i="1"/>
  <c r="S325" i="1"/>
  <c r="P325" i="1"/>
  <c r="O325" i="1"/>
  <c r="M325" i="1"/>
  <c r="K325" i="1"/>
  <c r="W323" i="1"/>
  <c r="V323" i="1"/>
  <c r="U323" i="1"/>
  <c r="S323" i="1"/>
  <c r="R323" i="1"/>
  <c r="R322" i="1" s="1"/>
  <c r="V322" i="1" s="1"/>
  <c r="K323" i="1"/>
  <c r="N323" i="1" s="1"/>
  <c r="U322" i="1"/>
  <c r="S322" i="1"/>
  <c r="Q322" i="1"/>
  <c r="P322" i="1"/>
  <c r="O322" i="1"/>
  <c r="N322" i="1"/>
  <c r="M322" i="1"/>
  <c r="L322" i="1"/>
  <c r="K322" i="1"/>
  <c r="W320" i="1"/>
  <c r="U320" i="1"/>
  <c r="S320" i="1"/>
  <c r="K320" i="1"/>
  <c r="N320" i="1" s="1"/>
  <c r="W319" i="1"/>
  <c r="S319" i="1"/>
  <c r="Q319" i="1"/>
  <c r="P319" i="1"/>
  <c r="O319" i="1"/>
  <c r="M319" i="1"/>
  <c r="L319" i="1"/>
  <c r="R317" i="1"/>
  <c r="O317" i="1"/>
  <c r="M317" i="1"/>
  <c r="M315" i="1" s="1"/>
  <c r="L317" i="1"/>
  <c r="N317" i="1" s="1"/>
  <c r="W316" i="1"/>
  <c r="U316" i="1"/>
  <c r="U315" i="1" s="1"/>
  <c r="S316" i="1"/>
  <c r="Q316" i="1"/>
  <c r="Q315" i="1" s="1"/>
  <c r="N316" i="1"/>
  <c r="R316" i="1" s="1"/>
  <c r="K316" i="1"/>
  <c r="W315" i="1"/>
  <c r="S315" i="1"/>
  <c r="P315" i="1"/>
  <c r="O315" i="1"/>
  <c r="N315" i="1"/>
  <c r="K315" i="1"/>
  <c r="O313" i="1"/>
  <c r="N313" i="1"/>
  <c r="R313" i="1" s="1"/>
  <c r="M313" i="1"/>
  <c r="M307" i="1" s="1"/>
  <c r="L313" i="1"/>
  <c r="W312" i="1"/>
  <c r="V312" i="1"/>
  <c r="U312" i="1"/>
  <c r="S312" i="1"/>
  <c r="O312" i="1"/>
  <c r="R312" i="1" s="1"/>
  <c r="L312" i="1"/>
  <c r="N312" i="1" s="1"/>
  <c r="W311" i="1"/>
  <c r="U311" i="1"/>
  <c r="S311" i="1"/>
  <c r="O311" i="1"/>
  <c r="L311" i="1"/>
  <c r="W310" i="1"/>
  <c r="U310" i="1"/>
  <c r="U307" i="1" s="1"/>
  <c r="S310" i="1"/>
  <c r="L310" i="1"/>
  <c r="K310" i="1"/>
  <c r="N310" i="1" s="1"/>
  <c r="R310" i="1" s="1"/>
  <c r="N309" i="1"/>
  <c r="M309" i="1"/>
  <c r="W308" i="1"/>
  <c r="V308" i="1"/>
  <c r="U308" i="1"/>
  <c r="S308" i="1"/>
  <c r="R308" i="1"/>
  <c r="N308" i="1"/>
  <c r="Q307" i="1"/>
  <c r="P307" i="1"/>
  <c r="O307" i="1"/>
  <c r="O305" i="1"/>
  <c r="L305" i="1"/>
  <c r="N305" i="1" s="1"/>
  <c r="R305" i="1" s="1"/>
  <c r="O304" i="1"/>
  <c r="L304" i="1"/>
  <c r="L300" i="1" s="1"/>
  <c r="W303" i="1"/>
  <c r="U303" i="1"/>
  <c r="V303" i="1" s="1"/>
  <c r="S303" i="1"/>
  <c r="O303" i="1"/>
  <c r="N303" i="1"/>
  <c r="R303" i="1" s="1"/>
  <c r="L303" i="1"/>
  <c r="W302" i="1"/>
  <c r="W300" i="1" s="1"/>
  <c r="U302" i="1"/>
  <c r="S302" i="1"/>
  <c r="T302" i="1" s="1"/>
  <c r="R302" i="1"/>
  <c r="V302" i="1" s="1"/>
  <c r="L302" i="1"/>
  <c r="K302" i="1"/>
  <c r="N302" i="1" s="1"/>
  <c r="O301" i="1"/>
  <c r="O300" i="1" s="1"/>
  <c r="M301" i="1"/>
  <c r="N301" i="1" s="1"/>
  <c r="U300" i="1"/>
  <c r="Q300" i="1"/>
  <c r="P300" i="1"/>
  <c r="M300" i="1"/>
  <c r="K300" i="1"/>
  <c r="S298" i="1"/>
  <c r="R298" i="1"/>
  <c r="O298" i="1"/>
  <c r="N298" i="1"/>
  <c r="L298" i="1"/>
  <c r="R297" i="1"/>
  <c r="O297" i="1"/>
  <c r="N297" i="1"/>
  <c r="L297" i="1"/>
  <c r="W296" i="1"/>
  <c r="U296" i="1"/>
  <c r="T296" i="1"/>
  <c r="S296" i="1"/>
  <c r="O296" i="1"/>
  <c r="N296" i="1"/>
  <c r="R296" i="1" s="1"/>
  <c r="V296" i="1" s="1"/>
  <c r="L296" i="1"/>
  <c r="W295" i="1"/>
  <c r="V295" i="1"/>
  <c r="U295" i="1"/>
  <c r="S295" i="1"/>
  <c r="R295" i="1"/>
  <c r="O295" i="1"/>
  <c r="N295" i="1"/>
  <c r="L295" i="1"/>
  <c r="W294" i="1"/>
  <c r="U294" i="1"/>
  <c r="T294" i="1"/>
  <c r="S294" i="1"/>
  <c r="O294" i="1"/>
  <c r="N294" i="1"/>
  <c r="R294" i="1" s="1"/>
  <c r="V294" i="1" s="1"/>
  <c r="M294" i="1"/>
  <c r="K294" i="1"/>
  <c r="K289" i="1" s="1"/>
  <c r="V293" i="1"/>
  <c r="T293" i="1"/>
  <c r="L293" i="1"/>
  <c r="N293" i="1" s="1"/>
  <c r="R293" i="1" s="1"/>
  <c r="X293" i="1" s="1"/>
  <c r="N292" i="1"/>
  <c r="R292" i="1" s="1"/>
  <c r="L292" i="1"/>
  <c r="W291" i="1"/>
  <c r="U291" i="1"/>
  <c r="S291" i="1"/>
  <c r="O291" i="1"/>
  <c r="M291" i="1"/>
  <c r="L291" i="1"/>
  <c r="N291" i="1" s="1"/>
  <c r="R291" i="1" s="1"/>
  <c r="W290" i="1"/>
  <c r="U290" i="1"/>
  <c r="S290" i="1"/>
  <c r="R290" i="1"/>
  <c r="N290" i="1"/>
  <c r="L290" i="1"/>
  <c r="U289" i="1"/>
  <c r="S289" i="1"/>
  <c r="Q289" i="1"/>
  <c r="P289" i="1"/>
  <c r="O289" i="1"/>
  <c r="M289" i="1"/>
  <c r="W287" i="1"/>
  <c r="U287" i="1"/>
  <c r="S287" i="1"/>
  <c r="L287" i="1"/>
  <c r="L285" i="1" s="1"/>
  <c r="K287" i="1"/>
  <c r="R286" i="1"/>
  <c r="N286" i="1"/>
  <c r="W285" i="1"/>
  <c r="S285" i="1"/>
  <c r="Q285" i="1"/>
  <c r="P285" i="1"/>
  <c r="O285" i="1"/>
  <c r="M285" i="1"/>
  <c r="W283" i="1"/>
  <c r="U283" i="1"/>
  <c r="U282" i="1" s="1"/>
  <c r="S283" i="1"/>
  <c r="R283" i="1"/>
  <c r="N283" i="1"/>
  <c r="L283" i="1"/>
  <c r="K283" i="1"/>
  <c r="W282" i="1"/>
  <c r="S282" i="1"/>
  <c r="Q282" i="1"/>
  <c r="P282" i="1"/>
  <c r="O282" i="1"/>
  <c r="N282" i="1"/>
  <c r="M282" i="1"/>
  <c r="L282" i="1"/>
  <c r="K282" i="1"/>
  <c r="R280" i="1"/>
  <c r="O280" i="1"/>
  <c r="L280" i="1"/>
  <c r="N280" i="1" s="1"/>
  <c r="W279" i="1"/>
  <c r="U279" i="1"/>
  <c r="V279" i="1" s="1"/>
  <c r="S279" i="1"/>
  <c r="M279" i="1"/>
  <c r="N279" i="1" s="1"/>
  <c r="R279" i="1" s="1"/>
  <c r="T279" i="1" s="1"/>
  <c r="K279" i="1"/>
  <c r="N278" i="1"/>
  <c r="W277" i="1"/>
  <c r="U277" i="1"/>
  <c r="S277" i="1"/>
  <c r="Q277" i="1"/>
  <c r="P277" i="1"/>
  <c r="O277" i="1"/>
  <c r="K277" i="1"/>
  <c r="W275" i="1"/>
  <c r="V275" i="1"/>
  <c r="U275" i="1"/>
  <c r="U274" i="1" s="1"/>
  <c r="S275" i="1"/>
  <c r="N275" i="1"/>
  <c r="R275" i="1" s="1"/>
  <c r="R274" i="1" s="1"/>
  <c r="V274" i="1" s="1"/>
  <c r="W274" i="1"/>
  <c r="S274" i="1"/>
  <c r="Q274" i="1"/>
  <c r="P274" i="1"/>
  <c r="O274" i="1"/>
  <c r="M274" i="1"/>
  <c r="L274" i="1"/>
  <c r="K274" i="1"/>
  <c r="X272" i="1"/>
  <c r="V272" i="1"/>
  <c r="O272" i="1"/>
  <c r="N272" i="1"/>
  <c r="R272" i="1" s="1"/>
  <c r="T272" i="1" s="1"/>
  <c r="L272" i="1"/>
  <c r="N271" i="1"/>
  <c r="R271" i="1" s="1"/>
  <c r="L271" i="1"/>
  <c r="S270" i="1"/>
  <c r="O270" i="1"/>
  <c r="O266" i="1" s="1"/>
  <c r="N270" i="1"/>
  <c r="R270" i="1" s="1"/>
  <c r="L270" i="1"/>
  <c r="W269" i="1"/>
  <c r="W266" i="1" s="1"/>
  <c r="U269" i="1"/>
  <c r="U266" i="1" s="1"/>
  <c r="S269" i="1"/>
  <c r="S266" i="1" s="1"/>
  <c r="N269" i="1"/>
  <c r="R269" i="1" s="1"/>
  <c r="L269" i="1"/>
  <c r="W268" i="1"/>
  <c r="U268" i="1"/>
  <c r="S268" i="1"/>
  <c r="Q268" i="1"/>
  <c r="N268" i="1"/>
  <c r="R268" i="1" s="1"/>
  <c r="V268" i="1" s="1"/>
  <c r="L268" i="1"/>
  <c r="K268" i="1"/>
  <c r="K266" i="1" s="1"/>
  <c r="N267" i="1"/>
  <c r="N266" i="1" s="1"/>
  <c r="Q266" i="1"/>
  <c r="P266" i="1"/>
  <c r="M266" i="1"/>
  <c r="L266" i="1"/>
  <c r="O264" i="1"/>
  <c r="O260" i="1" s="1"/>
  <c r="N264" i="1"/>
  <c r="R264" i="1" s="1"/>
  <c r="L264" i="1"/>
  <c r="S263" i="1"/>
  <c r="N263" i="1"/>
  <c r="R263" i="1" s="1"/>
  <c r="L263" i="1"/>
  <c r="W262" i="1"/>
  <c r="U262" i="1"/>
  <c r="S262" i="1"/>
  <c r="R262" i="1"/>
  <c r="L262" i="1"/>
  <c r="N262" i="1" s="1"/>
  <c r="W261" i="1"/>
  <c r="U261" i="1"/>
  <c r="S261" i="1"/>
  <c r="N261" i="1"/>
  <c r="L261" i="1"/>
  <c r="K261" i="1"/>
  <c r="K260" i="1" s="1"/>
  <c r="W260" i="1"/>
  <c r="U260" i="1"/>
  <c r="Q260" i="1"/>
  <c r="P260" i="1"/>
  <c r="M260" i="1"/>
  <c r="L260" i="1"/>
  <c r="S258" i="1"/>
  <c r="L258" i="1"/>
  <c r="W257" i="1"/>
  <c r="U257" i="1"/>
  <c r="S257" i="1"/>
  <c r="K257" i="1"/>
  <c r="N257" i="1" s="1"/>
  <c r="W256" i="1"/>
  <c r="U256" i="1"/>
  <c r="Q256" i="1"/>
  <c r="P256" i="1"/>
  <c r="O256" i="1"/>
  <c r="M256" i="1"/>
  <c r="K256" i="1"/>
  <c r="S254" i="1"/>
  <c r="R254" i="1"/>
  <c r="N254" i="1"/>
  <c r="L254" i="1"/>
  <c r="W253" i="1"/>
  <c r="U253" i="1"/>
  <c r="S253" i="1"/>
  <c r="K253" i="1"/>
  <c r="U252" i="1"/>
  <c r="Q252" i="1"/>
  <c r="P252" i="1"/>
  <c r="O252" i="1"/>
  <c r="M252" i="1"/>
  <c r="L252" i="1"/>
  <c r="S250" i="1"/>
  <c r="N250" i="1"/>
  <c r="R250" i="1" s="1"/>
  <c r="L250" i="1"/>
  <c r="W249" i="1"/>
  <c r="U249" i="1"/>
  <c r="U248" i="1" s="1"/>
  <c r="S249" i="1"/>
  <c r="N249" i="1"/>
  <c r="L249" i="1"/>
  <c r="K249" i="1"/>
  <c r="W248" i="1"/>
  <c r="Q248" i="1"/>
  <c r="P248" i="1"/>
  <c r="O248" i="1"/>
  <c r="M248" i="1"/>
  <c r="L248" i="1"/>
  <c r="K248" i="1"/>
  <c r="O246" i="1"/>
  <c r="R246" i="1" s="1"/>
  <c r="L246" i="1"/>
  <c r="N246" i="1" s="1"/>
  <c r="W245" i="1"/>
  <c r="U245" i="1"/>
  <c r="S245" i="1"/>
  <c r="L245" i="1"/>
  <c r="W244" i="1"/>
  <c r="U244" i="1"/>
  <c r="S244" i="1"/>
  <c r="O244" i="1"/>
  <c r="O241" i="1" s="1"/>
  <c r="N244" i="1"/>
  <c r="R244" i="1" s="1"/>
  <c r="T244" i="1" s="1"/>
  <c r="L244" i="1"/>
  <c r="W243" i="1"/>
  <c r="V243" i="1"/>
  <c r="U243" i="1"/>
  <c r="S243" i="1"/>
  <c r="R243" i="1"/>
  <c r="L243" i="1"/>
  <c r="N243" i="1" s="1"/>
  <c r="W242" i="1"/>
  <c r="U242" i="1"/>
  <c r="S242" i="1"/>
  <c r="M242" i="1"/>
  <c r="L242" i="1"/>
  <c r="K242" i="1"/>
  <c r="Q241" i="1"/>
  <c r="P241" i="1"/>
  <c r="K241" i="1"/>
  <c r="W239" i="1"/>
  <c r="U239" i="1"/>
  <c r="S239" i="1"/>
  <c r="L239" i="1"/>
  <c r="N239" i="1" s="1"/>
  <c r="W238" i="1"/>
  <c r="X238" i="1" s="1"/>
  <c r="U238" i="1"/>
  <c r="V238" i="1" s="1"/>
  <c r="S238" i="1"/>
  <c r="R238" i="1"/>
  <c r="N238" i="1"/>
  <c r="W237" i="1"/>
  <c r="X237" i="1" s="1"/>
  <c r="U237" i="1"/>
  <c r="S237" i="1"/>
  <c r="R237" i="1"/>
  <c r="N237" i="1"/>
  <c r="K237" i="1"/>
  <c r="W236" i="1"/>
  <c r="Q236" i="1"/>
  <c r="P236" i="1"/>
  <c r="O236" i="1"/>
  <c r="M236" i="1"/>
  <c r="L236" i="1"/>
  <c r="K236" i="1"/>
  <c r="W234" i="1"/>
  <c r="U234" i="1"/>
  <c r="S234" i="1"/>
  <c r="O234" i="1"/>
  <c r="M234" i="1"/>
  <c r="L234" i="1"/>
  <c r="W233" i="1"/>
  <c r="U233" i="1"/>
  <c r="T233" i="1"/>
  <c r="S233" i="1"/>
  <c r="S232" i="1" s="1"/>
  <c r="O233" i="1"/>
  <c r="O232" i="1" s="1"/>
  <c r="N233" i="1"/>
  <c r="R233" i="1" s="1"/>
  <c r="U232" i="1"/>
  <c r="Q232" i="1"/>
  <c r="P232" i="1"/>
  <c r="M232" i="1"/>
  <c r="K232" i="1"/>
  <c r="K230" i="1"/>
  <c r="W229" i="1"/>
  <c r="U229" i="1"/>
  <c r="S229" i="1"/>
  <c r="Q229" i="1"/>
  <c r="P229" i="1"/>
  <c r="O229" i="1"/>
  <c r="M229" i="1"/>
  <c r="L229" i="1"/>
  <c r="W227" i="1"/>
  <c r="U227" i="1"/>
  <c r="S227" i="1"/>
  <c r="O227" i="1"/>
  <c r="L227" i="1"/>
  <c r="N227" i="1" s="1"/>
  <c r="R227" i="1" s="1"/>
  <c r="V227" i="1" s="1"/>
  <c r="W226" i="1"/>
  <c r="U226" i="1"/>
  <c r="T226" i="1"/>
  <c r="S226" i="1"/>
  <c r="L226" i="1"/>
  <c r="N226" i="1" s="1"/>
  <c r="R226" i="1" s="1"/>
  <c r="X226" i="1" s="1"/>
  <c r="W225" i="1"/>
  <c r="X225" i="1" s="1"/>
  <c r="U225" i="1"/>
  <c r="S225" i="1"/>
  <c r="R225" i="1"/>
  <c r="N225" i="1"/>
  <c r="L225" i="1"/>
  <c r="W224" i="1"/>
  <c r="X224" i="1" s="1"/>
  <c r="U224" i="1"/>
  <c r="T224" i="1"/>
  <c r="S224" i="1"/>
  <c r="L224" i="1"/>
  <c r="N224" i="1" s="1"/>
  <c r="R224" i="1" s="1"/>
  <c r="V224" i="1" s="1"/>
  <c r="W223" i="1"/>
  <c r="X223" i="1" s="1"/>
  <c r="U223" i="1"/>
  <c r="S223" i="1"/>
  <c r="R223" i="1"/>
  <c r="N223" i="1"/>
  <c r="W222" i="1"/>
  <c r="Q222" i="1"/>
  <c r="P222" i="1"/>
  <c r="O222" i="1"/>
  <c r="M222" i="1"/>
  <c r="K222" i="1"/>
  <c r="W220" i="1"/>
  <c r="U220" i="1"/>
  <c r="T220" i="1"/>
  <c r="S220" i="1"/>
  <c r="O220" i="1"/>
  <c r="N220" i="1"/>
  <c r="R220" i="1" s="1"/>
  <c r="X220" i="1" s="1"/>
  <c r="L220" i="1"/>
  <c r="W219" i="1"/>
  <c r="U219" i="1"/>
  <c r="S219" i="1"/>
  <c r="L219" i="1"/>
  <c r="N219" i="1" s="1"/>
  <c r="R219" i="1" s="1"/>
  <c r="V219" i="1" s="1"/>
  <c r="W218" i="1"/>
  <c r="U218" i="1"/>
  <c r="V218" i="1" s="1"/>
  <c r="S218" i="1"/>
  <c r="L218" i="1"/>
  <c r="N218" i="1" s="1"/>
  <c r="R218" i="1" s="1"/>
  <c r="T218" i="1" s="1"/>
  <c r="W217" i="1"/>
  <c r="U217" i="1"/>
  <c r="S217" i="1"/>
  <c r="L217" i="1"/>
  <c r="W216" i="1"/>
  <c r="U216" i="1"/>
  <c r="S216" i="1"/>
  <c r="N216" i="1"/>
  <c r="R216" i="1" s="1"/>
  <c r="W215" i="1"/>
  <c r="Q215" i="1"/>
  <c r="P215" i="1"/>
  <c r="O215" i="1"/>
  <c r="M215" i="1"/>
  <c r="K215" i="1"/>
  <c r="W213" i="1"/>
  <c r="U213" i="1"/>
  <c r="S213" i="1"/>
  <c r="O213" i="1"/>
  <c r="O208" i="1" s="1"/>
  <c r="N213" i="1"/>
  <c r="R213" i="1" s="1"/>
  <c r="L213" i="1"/>
  <c r="W212" i="1"/>
  <c r="U212" i="1"/>
  <c r="V212" i="1" s="1"/>
  <c r="S212" i="1"/>
  <c r="N212" i="1"/>
  <c r="R212" i="1" s="1"/>
  <c r="L212" i="1"/>
  <c r="W211" i="1"/>
  <c r="U211" i="1"/>
  <c r="S211" i="1"/>
  <c r="R211" i="1"/>
  <c r="V211" i="1" s="1"/>
  <c r="L211" i="1"/>
  <c r="N211" i="1" s="1"/>
  <c r="W210" i="1"/>
  <c r="U210" i="1"/>
  <c r="S210" i="1"/>
  <c r="L210" i="1"/>
  <c r="W209" i="1"/>
  <c r="U209" i="1"/>
  <c r="S209" i="1"/>
  <c r="N209" i="1"/>
  <c r="R209" i="1" s="1"/>
  <c r="T209" i="1" s="1"/>
  <c r="Q208" i="1"/>
  <c r="P208" i="1"/>
  <c r="M208" i="1"/>
  <c r="K208" i="1"/>
  <c r="Q206" i="1"/>
  <c r="R206" i="1" s="1"/>
  <c r="O206" i="1"/>
  <c r="L206" i="1"/>
  <c r="N206" i="1" s="1"/>
  <c r="Q205" i="1"/>
  <c r="O205" i="1"/>
  <c r="L205" i="1"/>
  <c r="W204" i="1"/>
  <c r="U204" i="1"/>
  <c r="T204" i="1"/>
  <c r="S204" i="1"/>
  <c r="Q204" i="1"/>
  <c r="Q202" i="1" s="1"/>
  <c r="N204" i="1"/>
  <c r="R204" i="1" s="1"/>
  <c r="X204" i="1" s="1"/>
  <c r="M204" i="1"/>
  <c r="K204" i="1"/>
  <c r="W203" i="1"/>
  <c r="W202" i="1" s="1"/>
  <c r="U203" i="1"/>
  <c r="S203" i="1"/>
  <c r="N203" i="1"/>
  <c r="U202" i="1"/>
  <c r="P202" i="1"/>
  <c r="O202" i="1"/>
  <c r="M202" i="1"/>
  <c r="K202" i="1"/>
  <c r="W200" i="1"/>
  <c r="U200" i="1"/>
  <c r="U198" i="1" s="1"/>
  <c r="S200" i="1"/>
  <c r="R200" i="1"/>
  <c r="R198" i="1" s="1"/>
  <c r="N200" i="1"/>
  <c r="K200" i="1"/>
  <c r="W199" i="1"/>
  <c r="U199" i="1"/>
  <c r="S199" i="1"/>
  <c r="T199" i="1" s="1"/>
  <c r="R199" i="1"/>
  <c r="V199" i="1" s="1"/>
  <c r="N199" i="1"/>
  <c r="S198" i="1"/>
  <c r="Q198" i="1"/>
  <c r="P198" i="1"/>
  <c r="O198" i="1"/>
  <c r="N198" i="1"/>
  <c r="M198" i="1"/>
  <c r="L198" i="1"/>
  <c r="K198" i="1"/>
  <c r="Q196" i="1"/>
  <c r="O196" i="1"/>
  <c r="N196" i="1"/>
  <c r="R196" i="1" s="1"/>
  <c r="L196" i="1"/>
  <c r="W195" i="1"/>
  <c r="U195" i="1"/>
  <c r="S195" i="1"/>
  <c r="T195" i="1" s="1"/>
  <c r="Q195" i="1"/>
  <c r="O195" i="1"/>
  <c r="N195" i="1"/>
  <c r="R195" i="1" s="1"/>
  <c r="L195" i="1"/>
  <c r="W194" i="1"/>
  <c r="U194" i="1"/>
  <c r="S194" i="1"/>
  <c r="Q194" i="1"/>
  <c r="M194" i="1"/>
  <c r="K194" i="1"/>
  <c r="W193" i="1"/>
  <c r="U193" i="1"/>
  <c r="S193" i="1"/>
  <c r="N193" i="1"/>
  <c r="W192" i="1"/>
  <c r="S192" i="1"/>
  <c r="Q192" i="1"/>
  <c r="P192" i="1"/>
  <c r="O192" i="1"/>
  <c r="M192" i="1"/>
  <c r="L192" i="1"/>
  <c r="O190" i="1"/>
  <c r="L190" i="1"/>
  <c r="L187" i="1" s="1"/>
  <c r="W189" i="1"/>
  <c r="U189" i="1"/>
  <c r="S189" i="1"/>
  <c r="N189" i="1"/>
  <c r="R189" i="1" s="1"/>
  <c r="K189" i="1"/>
  <c r="N188" i="1"/>
  <c r="W187" i="1"/>
  <c r="S187" i="1"/>
  <c r="Q187" i="1"/>
  <c r="P187" i="1"/>
  <c r="O187" i="1"/>
  <c r="M187" i="1"/>
  <c r="K187" i="1"/>
  <c r="W185" i="1"/>
  <c r="U185" i="1"/>
  <c r="S185" i="1"/>
  <c r="N185" i="1"/>
  <c r="R185" i="1" s="1"/>
  <c r="K185" i="1"/>
  <c r="X184" i="1"/>
  <c r="V184" i="1"/>
  <c r="T184" i="1"/>
  <c r="N184" i="1"/>
  <c r="R184" i="1" s="1"/>
  <c r="V183" i="1"/>
  <c r="S183" i="1"/>
  <c r="N183" i="1"/>
  <c r="R183" i="1" s="1"/>
  <c r="X183" i="1" s="1"/>
  <c r="W182" i="1"/>
  <c r="U182" i="1"/>
  <c r="Q182" i="1"/>
  <c r="P182" i="1"/>
  <c r="O182" i="1"/>
  <c r="N182" i="1"/>
  <c r="M182" i="1"/>
  <c r="L182" i="1"/>
  <c r="K182" i="1"/>
  <c r="O180" i="1"/>
  <c r="O172" i="1" s="1"/>
  <c r="L180" i="1"/>
  <c r="N180" i="1" s="1"/>
  <c r="O179" i="1"/>
  <c r="L179" i="1"/>
  <c r="N179" i="1" s="1"/>
  <c r="R179" i="1" s="1"/>
  <c r="W178" i="1"/>
  <c r="U178" i="1"/>
  <c r="S178" i="1"/>
  <c r="O178" i="1"/>
  <c r="N178" i="1"/>
  <c r="R178" i="1" s="1"/>
  <c r="T178" i="1" s="1"/>
  <c r="L178" i="1"/>
  <c r="W177" i="1"/>
  <c r="U177" i="1"/>
  <c r="V177" i="1" s="1"/>
  <c r="S177" i="1"/>
  <c r="T177" i="1" s="1"/>
  <c r="N177" i="1"/>
  <c r="R177" i="1" s="1"/>
  <c r="L177" i="1"/>
  <c r="W176" i="1"/>
  <c r="U176" i="1"/>
  <c r="S176" i="1"/>
  <c r="K176" i="1"/>
  <c r="N176" i="1" s="1"/>
  <c r="R176" i="1" s="1"/>
  <c r="V176" i="1" s="1"/>
  <c r="L175" i="1"/>
  <c r="N175" i="1" s="1"/>
  <c r="R175" i="1" s="1"/>
  <c r="W174" i="1"/>
  <c r="U174" i="1"/>
  <c r="S174" i="1"/>
  <c r="N174" i="1"/>
  <c r="R174" i="1" s="1"/>
  <c r="L174" i="1"/>
  <c r="X173" i="1"/>
  <c r="W173" i="1"/>
  <c r="U173" i="1"/>
  <c r="T173" i="1"/>
  <c r="S173" i="1"/>
  <c r="R173" i="1"/>
  <c r="N173" i="1"/>
  <c r="Q172" i="1"/>
  <c r="P172" i="1"/>
  <c r="M172" i="1"/>
  <c r="L172" i="1"/>
  <c r="K172" i="1"/>
  <c r="W170" i="1"/>
  <c r="U170" i="1"/>
  <c r="V170" i="1" s="1"/>
  <c r="S170" i="1"/>
  <c r="O170" i="1"/>
  <c r="R170" i="1" s="1"/>
  <c r="N170" i="1"/>
  <c r="L170" i="1"/>
  <c r="W169" i="1"/>
  <c r="U169" i="1"/>
  <c r="S169" i="1"/>
  <c r="O169" i="1"/>
  <c r="M169" i="1"/>
  <c r="N169" i="1" s="1"/>
  <c r="R169" i="1" s="1"/>
  <c r="L169" i="1"/>
  <c r="S168" i="1"/>
  <c r="O168" i="1"/>
  <c r="R168" i="1" s="1"/>
  <c r="N168" i="1"/>
  <c r="L168" i="1"/>
  <c r="X167" i="1"/>
  <c r="V167" i="1"/>
  <c r="M167" i="1"/>
  <c r="N167" i="1" s="1"/>
  <c r="R167" i="1" s="1"/>
  <c r="T167" i="1" s="1"/>
  <c r="W166" i="1"/>
  <c r="U166" i="1"/>
  <c r="S166" i="1"/>
  <c r="K166" i="1"/>
  <c r="N166" i="1" s="1"/>
  <c r="R166" i="1" s="1"/>
  <c r="W165" i="1"/>
  <c r="U165" i="1"/>
  <c r="S165" i="1"/>
  <c r="O165" i="1"/>
  <c r="M165" i="1"/>
  <c r="K165" i="1"/>
  <c r="Q164" i="1"/>
  <c r="P164" i="1"/>
  <c r="L164" i="1"/>
  <c r="W162" i="1"/>
  <c r="X162" i="1" s="1"/>
  <c r="U162" i="1"/>
  <c r="S162" i="1"/>
  <c r="S159" i="1" s="1"/>
  <c r="P162" i="1"/>
  <c r="O162" i="1"/>
  <c r="O159" i="1" s="1"/>
  <c r="N162" i="1"/>
  <c r="R162" i="1" s="1"/>
  <c r="V162" i="1" s="1"/>
  <c r="L162" i="1"/>
  <c r="W161" i="1"/>
  <c r="U161" i="1"/>
  <c r="S161" i="1"/>
  <c r="P161" i="1"/>
  <c r="R161" i="1" s="1"/>
  <c r="N161" i="1"/>
  <c r="W160" i="1"/>
  <c r="U160" i="1"/>
  <c r="S160" i="1"/>
  <c r="R160" i="1"/>
  <c r="R159" i="1" s="1"/>
  <c r="P160" i="1"/>
  <c r="N160" i="1"/>
  <c r="W159" i="1"/>
  <c r="U159" i="1"/>
  <c r="V159" i="1" s="1"/>
  <c r="Q159" i="1"/>
  <c r="P159" i="1"/>
  <c r="M159" i="1"/>
  <c r="L159" i="1"/>
  <c r="K159" i="1"/>
  <c r="W157" i="1"/>
  <c r="U157" i="1"/>
  <c r="V157" i="1" s="1"/>
  <c r="S157" i="1"/>
  <c r="T157" i="1" s="1"/>
  <c r="O157" i="1"/>
  <c r="O152" i="1" s="1"/>
  <c r="L157" i="1"/>
  <c r="N157" i="1" s="1"/>
  <c r="R157" i="1" s="1"/>
  <c r="W156" i="1"/>
  <c r="U156" i="1"/>
  <c r="S156" i="1"/>
  <c r="T156" i="1" s="1"/>
  <c r="K156" i="1"/>
  <c r="N156" i="1" s="1"/>
  <c r="R156" i="1" s="1"/>
  <c r="X156" i="1" s="1"/>
  <c r="N155" i="1"/>
  <c r="R155" i="1" s="1"/>
  <c r="V155" i="1" s="1"/>
  <c r="V154" i="1"/>
  <c r="O154" i="1"/>
  <c r="N154" i="1"/>
  <c r="R154" i="1" s="1"/>
  <c r="X154" i="1" s="1"/>
  <c r="W153" i="1"/>
  <c r="U153" i="1"/>
  <c r="S153" i="1"/>
  <c r="S152" i="1" s="1"/>
  <c r="O153" i="1"/>
  <c r="M153" i="1"/>
  <c r="K153" i="1"/>
  <c r="W152" i="1"/>
  <c r="Q152" i="1"/>
  <c r="P152" i="1"/>
  <c r="K152" i="1"/>
  <c r="W150" i="1"/>
  <c r="U150" i="1"/>
  <c r="U149" i="1" s="1"/>
  <c r="S150" i="1"/>
  <c r="N150" i="1"/>
  <c r="N149" i="1" s="1"/>
  <c r="M150" i="1"/>
  <c r="M149" i="1" s="1"/>
  <c r="K150" i="1"/>
  <c r="W149" i="1"/>
  <c r="S149" i="1"/>
  <c r="Q149" i="1"/>
  <c r="P149" i="1"/>
  <c r="O149" i="1"/>
  <c r="L149" i="1"/>
  <c r="K149" i="1"/>
  <c r="O147" i="1"/>
  <c r="M147" i="1"/>
  <c r="L147" i="1"/>
  <c r="N147" i="1" s="1"/>
  <c r="R147" i="1" s="1"/>
  <c r="W146" i="1"/>
  <c r="U146" i="1"/>
  <c r="S146" i="1"/>
  <c r="R146" i="1"/>
  <c r="M146" i="1"/>
  <c r="K146" i="1"/>
  <c r="N146" i="1" s="1"/>
  <c r="W145" i="1"/>
  <c r="U145" i="1"/>
  <c r="S145" i="1"/>
  <c r="N145" i="1"/>
  <c r="W144" i="1"/>
  <c r="U144" i="1"/>
  <c r="Q144" i="1"/>
  <c r="P144" i="1"/>
  <c r="O144" i="1"/>
  <c r="M144" i="1"/>
  <c r="K144" i="1"/>
  <c r="W142" i="1"/>
  <c r="U142" i="1"/>
  <c r="S142" i="1"/>
  <c r="N142" i="1"/>
  <c r="R142" i="1" s="1"/>
  <c r="L142" i="1"/>
  <c r="X141" i="1"/>
  <c r="W141" i="1"/>
  <c r="U141" i="1"/>
  <c r="T141" i="1"/>
  <c r="S141" i="1"/>
  <c r="R141" i="1"/>
  <c r="V141" i="1" s="1"/>
  <c r="N141" i="1"/>
  <c r="W140" i="1"/>
  <c r="W139" i="1" s="1"/>
  <c r="U140" i="1"/>
  <c r="S140" i="1"/>
  <c r="M140" i="1"/>
  <c r="M139" i="1" s="1"/>
  <c r="K140" i="1"/>
  <c r="U139" i="1"/>
  <c r="Q139" i="1"/>
  <c r="P139" i="1"/>
  <c r="O139" i="1"/>
  <c r="L139" i="1"/>
  <c r="X137" i="1"/>
  <c r="W137" i="1"/>
  <c r="U137" i="1"/>
  <c r="T137" i="1"/>
  <c r="S137" i="1"/>
  <c r="R137" i="1"/>
  <c r="V137" i="1" s="1"/>
  <c r="N137" i="1"/>
  <c r="X136" i="1"/>
  <c r="W136" i="1"/>
  <c r="U136" i="1"/>
  <c r="T136" i="1"/>
  <c r="S136" i="1"/>
  <c r="R136" i="1"/>
  <c r="V136" i="1" s="1"/>
  <c r="Q136" i="1"/>
  <c r="P136" i="1"/>
  <c r="O136" i="1"/>
  <c r="N136" i="1"/>
  <c r="M136" i="1"/>
  <c r="L136" i="1"/>
  <c r="K136" i="1"/>
  <c r="W134" i="1"/>
  <c r="U134" i="1"/>
  <c r="S134" i="1"/>
  <c r="L134" i="1"/>
  <c r="N134" i="1" s="1"/>
  <c r="R134" i="1" s="1"/>
  <c r="W133" i="1"/>
  <c r="U133" i="1"/>
  <c r="U132" i="1" s="1"/>
  <c r="S133" i="1"/>
  <c r="R133" i="1"/>
  <c r="V133" i="1" s="1"/>
  <c r="N133" i="1"/>
  <c r="K133" i="1"/>
  <c r="S132" i="1"/>
  <c r="Q132" i="1"/>
  <c r="P132" i="1"/>
  <c r="O132" i="1"/>
  <c r="M132" i="1"/>
  <c r="K132" i="1"/>
  <c r="W130" i="1"/>
  <c r="U130" i="1"/>
  <c r="T130" i="1"/>
  <c r="S130" i="1"/>
  <c r="O130" i="1"/>
  <c r="O128" i="1" s="1"/>
  <c r="N130" i="1"/>
  <c r="R130" i="1" s="1"/>
  <c r="X130" i="1" s="1"/>
  <c r="L130" i="1"/>
  <c r="W129" i="1"/>
  <c r="W128" i="1" s="1"/>
  <c r="U129" i="1"/>
  <c r="S129" i="1"/>
  <c r="S128" i="1" s="1"/>
  <c r="L129" i="1"/>
  <c r="L128" i="1" s="1"/>
  <c r="K129" i="1"/>
  <c r="U128" i="1"/>
  <c r="Q128" i="1"/>
  <c r="P128" i="1"/>
  <c r="M128" i="1"/>
  <c r="W126" i="1"/>
  <c r="U126" i="1"/>
  <c r="S126" i="1"/>
  <c r="L126" i="1"/>
  <c r="N126" i="1" s="1"/>
  <c r="R126" i="1" s="1"/>
  <c r="V126" i="1" s="1"/>
  <c r="W125" i="1"/>
  <c r="U125" i="1"/>
  <c r="S125" i="1"/>
  <c r="S123" i="1" s="1"/>
  <c r="L125" i="1"/>
  <c r="W124" i="1"/>
  <c r="U124" i="1"/>
  <c r="S124" i="1"/>
  <c r="K124" i="1"/>
  <c r="W123" i="1"/>
  <c r="U123" i="1"/>
  <c r="Q123" i="1"/>
  <c r="P123" i="1"/>
  <c r="O123" i="1"/>
  <c r="M123" i="1"/>
  <c r="W121" i="1"/>
  <c r="U121" i="1"/>
  <c r="S121" i="1"/>
  <c r="O121" i="1"/>
  <c r="M121" i="1"/>
  <c r="M120" i="1" s="1"/>
  <c r="K121" i="1"/>
  <c r="Q120" i="1"/>
  <c r="P120" i="1"/>
  <c r="P370" i="1" s="1"/>
  <c r="O120" i="1"/>
  <c r="L120" i="1"/>
  <c r="K120" i="1"/>
  <c r="W118" i="1"/>
  <c r="U118" i="1"/>
  <c r="S118" i="1"/>
  <c r="L118" i="1"/>
  <c r="N118" i="1" s="1"/>
  <c r="R118" i="1" s="1"/>
  <c r="W117" i="1"/>
  <c r="U117" i="1"/>
  <c r="S117" i="1"/>
  <c r="O117" i="1"/>
  <c r="L117" i="1"/>
  <c r="N117" i="1" s="1"/>
  <c r="R117" i="1" s="1"/>
  <c r="W116" i="1"/>
  <c r="U116" i="1"/>
  <c r="S116" i="1"/>
  <c r="L116" i="1"/>
  <c r="K116" i="1"/>
  <c r="W115" i="1"/>
  <c r="S115" i="1"/>
  <c r="Q115" i="1"/>
  <c r="P115" i="1"/>
  <c r="O115" i="1"/>
  <c r="M115" i="1"/>
  <c r="O113" i="1"/>
  <c r="O108" i="1" s="1"/>
  <c r="M113" i="1"/>
  <c r="L113" i="1"/>
  <c r="N113" i="1" s="1"/>
  <c r="W112" i="1"/>
  <c r="U112" i="1"/>
  <c r="U108" i="1" s="1"/>
  <c r="S112" i="1"/>
  <c r="M112" i="1"/>
  <c r="K112" i="1"/>
  <c r="W111" i="1"/>
  <c r="U111" i="1"/>
  <c r="S111" i="1"/>
  <c r="L111" i="1"/>
  <c r="N111" i="1" s="1"/>
  <c r="R111" i="1" s="1"/>
  <c r="V111" i="1" s="1"/>
  <c r="R110" i="1"/>
  <c r="N110" i="1"/>
  <c r="L110" i="1"/>
  <c r="R109" i="1"/>
  <c r="N109" i="1"/>
  <c r="W108" i="1"/>
  <c r="S108" i="1"/>
  <c r="Q108" i="1"/>
  <c r="P108" i="1"/>
  <c r="K108" i="1"/>
  <c r="M105" i="1"/>
  <c r="M104" i="1" s="1"/>
  <c r="W104" i="1"/>
  <c r="U104" i="1"/>
  <c r="S104" i="1"/>
  <c r="Q104" i="1"/>
  <c r="P104" i="1"/>
  <c r="O104" i="1"/>
  <c r="L104" i="1"/>
  <c r="K104" i="1"/>
  <c r="M102" i="1"/>
  <c r="N102" i="1" s="1"/>
  <c r="R102" i="1" s="1"/>
  <c r="R101" i="1" s="1"/>
  <c r="W101" i="1"/>
  <c r="U101" i="1"/>
  <c r="S101" i="1"/>
  <c r="Q101" i="1"/>
  <c r="P101" i="1"/>
  <c r="O101" i="1"/>
  <c r="N101" i="1"/>
  <c r="M101" i="1"/>
  <c r="L101" i="1"/>
  <c r="K101" i="1"/>
  <c r="W99" i="1"/>
  <c r="V99" i="1"/>
  <c r="U99" i="1"/>
  <c r="S99" i="1"/>
  <c r="T99" i="1" s="1"/>
  <c r="R99" i="1"/>
  <c r="N99" i="1"/>
  <c r="W98" i="1"/>
  <c r="V98" i="1"/>
  <c r="U98" i="1"/>
  <c r="R98" i="1"/>
  <c r="Q98" i="1"/>
  <c r="P98" i="1"/>
  <c r="O98" i="1"/>
  <c r="N98" i="1"/>
  <c r="M98" i="1"/>
  <c r="L98" i="1"/>
  <c r="K98" i="1"/>
  <c r="W96" i="1"/>
  <c r="U96" i="1"/>
  <c r="S96" i="1"/>
  <c r="N96" i="1"/>
  <c r="M96" i="1"/>
  <c r="M95" i="1" s="1"/>
  <c r="W95" i="1"/>
  <c r="U95" i="1"/>
  <c r="S95" i="1"/>
  <c r="Q95" i="1"/>
  <c r="P95" i="1"/>
  <c r="O95" i="1"/>
  <c r="L95" i="1"/>
  <c r="K95" i="1"/>
  <c r="W93" i="1"/>
  <c r="W92" i="1" s="1"/>
  <c r="U93" i="1"/>
  <c r="S93" i="1"/>
  <c r="S92" i="1" s="1"/>
  <c r="L93" i="1"/>
  <c r="Q92" i="1"/>
  <c r="P92" i="1"/>
  <c r="O92" i="1"/>
  <c r="M92" i="1"/>
  <c r="K92" i="1"/>
  <c r="W90" i="1"/>
  <c r="U90" i="1"/>
  <c r="S90" i="1"/>
  <c r="M90" i="1"/>
  <c r="N90" i="1" s="1"/>
  <c r="W89" i="1"/>
  <c r="U89" i="1"/>
  <c r="S89" i="1"/>
  <c r="Q89" i="1"/>
  <c r="P89" i="1"/>
  <c r="O89" i="1"/>
  <c r="M89" i="1"/>
  <c r="L89" i="1"/>
  <c r="K89" i="1"/>
  <c r="L87" i="1"/>
  <c r="N87" i="1" s="1"/>
  <c r="R87" i="1" s="1"/>
  <c r="X87" i="1" s="1"/>
  <c r="X86" i="1"/>
  <c r="N86" i="1"/>
  <c r="R86" i="1" s="1"/>
  <c r="T86" i="1" s="1"/>
  <c r="W85" i="1"/>
  <c r="U85" i="1"/>
  <c r="S85" i="1"/>
  <c r="N85" i="1"/>
  <c r="R85" i="1" s="1"/>
  <c r="R84" i="1" s="1"/>
  <c r="X84" i="1" s="1"/>
  <c r="W84" i="1"/>
  <c r="U84" i="1"/>
  <c r="T84" i="1"/>
  <c r="S84" i="1"/>
  <c r="Q84" i="1"/>
  <c r="P84" i="1"/>
  <c r="O84" i="1"/>
  <c r="M84" i="1"/>
  <c r="L84" i="1"/>
  <c r="K84" i="1"/>
  <c r="W82" i="1"/>
  <c r="U82" i="1"/>
  <c r="S82" i="1"/>
  <c r="R82" i="1"/>
  <c r="V82" i="1" s="1"/>
  <c r="N82" i="1"/>
  <c r="W81" i="1"/>
  <c r="U81" i="1"/>
  <c r="S81" i="1"/>
  <c r="Q81" i="1"/>
  <c r="P81" i="1"/>
  <c r="O81" i="1"/>
  <c r="N81" i="1"/>
  <c r="M81" i="1"/>
  <c r="L81" i="1"/>
  <c r="K81" i="1"/>
  <c r="W79" i="1"/>
  <c r="U79" i="1"/>
  <c r="S79" i="1"/>
  <c r="M79" i="1"/>
  <c r="W78" i="1"/>
  <c r="U78" i="1"/>
  <c r="S78" i="1"/>
  <c r="Q78" i="1"/>
  <c r="P78" i="1"/>
  <c r="O78" i="1"/>
  <c r="L78" i="1"/>
  <c r="K78" i="1"/>
  <c r="W76" i="1"/>
  <c r="W75" i="1" s="1"/>
  <c r="U76" i="1"/>
  <c r="S76" i="1"/>
  <c r="S75" i="1" s="1"/>
  <c r="M76" i="1"/>
  <c r="N76" i="1" s="1"/>
  <c r="R76" i="1" s="1"/>
  <c r="X76" i="1" s="1"/>
  <c r="Q75" i="1"/>
  <c r="P75" i="1"/>
  <c r="O75" i="1"/>
  <c r="M75" i="1"/>
  <c r="L75" i="1"/>
  <c r="K75" i="1"/>
  <c r="W73" i="1"/>
  <c r="W72" i="1" s="1"/>
  <c r="U73" i="1"/>
  <c r="S73" i="1"/>
  <c r="K73" i="1"/>
  <c r="N73" i="1" s="1"/>
  <c r="N72" i="1" s="1"/>
  <c r="U72" i="1"/>
  <c r="S72" i="1"/>
  <c r="Q72" i="1"/>
  <c r="P72" i="1"/>
  <c r="O72" i="1"/>
  <c r="M72" i="1"/>
  <c r="L72" i="1"/>
  <c r="W70" i="1"/>
  <c r="U70" i="1"/>
  <c r="U69" i="1" s="1"/>
  <c r="S70" i="1"/>
  <c r="N70" i="1"/>
  <c r="R70" i="1" s="1"/>
  <c r="W69" i="1"/>
  <c r="S69" i="1"/>
  <c r="R69" i="1"/>
  <c r="Q69" i="1"/>
  <c r="P69" i="1"/>
  <c r="O69" i="1"/>
  <c r="N69" i="1"/>
  <c r="M69" i="1"/>
  <c r="L69" i="1"/>
  <c r="K69" i="1"/>
  <c r="X67" i="1"/>
  <c r="W67" i="1"/>
  <c r="U67" i="1"/>
  <c r="S67" i="1"/>
  <c r="S66" i="1" s="1"/>
  <c r="T66" i="1" s="1"/>
  <c r="M67" i="1"/>
  <c r="M66" i="1" s="1"/>
  <c r="K67" i="1"/>
  <c r="N67" i="1" s="1"/>
  <c r="R67" i="1" s="1"/>
  <c r="W66" i="1"/>
  <c r="X66" i="1" s="1"/>
  <c r="U66" i="1"/>
  <c r="V66" i="1" s="1"/>
  <c r="R66" i="1"/>
  <c r="Q66" i="1"/>
  <c r="P66" i="1"/>
  <c r="O66" i="1"/>
  <c r="N66" i="1"/>
  <c r="L66" i="1"/>
  <c r="K66" i="1"/>
  <c r="L64" i="1"/>
  <c r="N64" i="1" s="1"/>
  <c r="R64" i="1" s="1"/>
  <c r="U63" i="1"/>
  <c r="S63" i="1"/>
  <c r="L63" i="1"/>
  <c r="W62" i="1"/>
  <c r="U62" i="1"/>
  <c r="S62" i="1"/>
  <c r="R62" i="1"/>
  <c r="N62" i="1"/>
  <c r="U61" i="1"/>
  <c r="Q61" i="1"/>
  <c r="P61" i="1"/>
  <c r="O61" i="1"/>
  <c r="M61" i="1"/>
  <c r="K61" i="1"/>
  <c r="R59" i="1"/>
  <c r="N59" i="1"/>
  <c r="L59" i="1"/>
  <c r="Q58" i="1"/>
  <c r="K58" i="1"/>
  <c r="W57" i="1"/>
  <c r="U57" i="1"/>
  <c r="S57" i="1"/>
  <c r="Q57" i="1"/>
  <c r="P57" i="1"/>
  <c r="O57" i="1"/>
  <c r="M57" i="1"/>
  <c r="L57" i="1"/>
  <c r="N55" i="1"/>
  <c r="R55" i="1" s="1"/>
  <c r="K55" i="1"/>
  <c r="W54" i="1"/>
  <c r="U54" i="1"/>
  <c r="U53" i="1" s="1"/>
  <c r="S54" i="1"/>
  <c r="M54" i="1"/>
  <c r="M53" i="1" s="1"/>
  <c r="K54" i="1"/>
  <c r="W53" i="1"/>
  <c r="S53" i="1"/>
  <c r="Q53" i="1"/>
  <c r="P53" i="1"/>
  <c r="O53" i="1"/>
  <c r="L53" i="1"/>
  <c r="K53" i="1"/>
  <c r="W51" i="1"/>
  <c r="U51" i="1"/>
  <c r="S51" i="1"/>
  <c r="L51" i="1"/>
  <c r="N51" i="1" s="1"/>
  <c r="R51" i="1" s="1"/>
  <c r="W50" i="1"/>
  <c r="U50" i="1"/>
  <c r="V50" i="1" s="1"/>
  <c r="S50" i="1"/>
  <c r="O50" i="1"/>
  <c r="O47" i="1" s="1"/>
  <c r="L50" i="1"/>
  <c r="N50" i="1" s="1"/>
  <c r="R50" i="1" s="1"/>
  <c r="X49" i="1"/>
  <c r="W49" i="1"/>
  <c r="U49" i="1"/>
  <c r="S49" i="1"/>
  <c r="S47" i="1" s="1"/>
  <c r="L49" i="1"/>
  <c r="N49" i="1" s="1"/>
  <c r="R49" i="1" s="1"/>
  <c r="W48" i="1"/>
  <c r="U48" i="1"/>
  <c r="S48" i="1"/>
  <c r="L48" i="1"/>
  <c r="N48" i="1" s="1"/>
  <c r="K48" i="1"/>
  <c r="W47" i="1"/>
  <c r="Q47" i="1"/>
  <c r="P47" i="1"/>
  <c r="M47" i="1"/>
  <c r="L47" i="1"/>
  <c r="K47" i="1"/>
  <c r="W45" i="1"/>
  <c r="U45" i="1"/>
  <c r="S45" i="1"/>
  <c r="L45" i="1"/>
  <c r="N45" i="1" s="1"/>
  <c r="R45" i="1" s="1"/>
  <c r="W44" i="1"/>
  <c r="U44" i="1"/>
  <c r="S44" i="1"/>
  <c r="O44" i="1"/>
  <c r="O40" i="1" s="1"/>
  <c r="L44" i="1"/>
  <c r="N44" i="1" s="1"/>
  <c r="W43" i="1"/>
  <c r="U43" i="1"/>
  <c r="V43" i="1" s="1"/>
  <c r="S43" i="1"/>
  <c r="T43" i="1" s="1"/>
  <c r="N43" i="1"/>
  <c r="R43" i="1" s="1"/>
  <c r="W42" i="1"/>
  <c r="U42" i="1"/>
  <c r="S42" i="1"/>
  <c r="S40" i="1" s="1"/>
  <c r="M42" i="1"/>
  <c r="M40" i="1" s="1"/>
  <c r="W41" i="1"/>
  <c r="U41" i="1"/>
  <c r="S41" i="1"/>
  <c r="L41" i="1"/>
  <c r="N41" i="1" s="1"/>
  <c r="K41" i="1"/>
  <c r="Q40" i="1"/>
  <c r="P40" i="1"/>
  <c r="L40" i="1"/>
  <c r="K40" i="1"/>
  <c r="W38" i="1"/>
  <c r="U38" i="1"/>
  <c r="S38" i="1"/>
  <c r="N38" i="1"/>
  <c r="R38" i="1" s="1"/>
  <c r="L38" i="1"/>
  <c r="O37" i="1"/>
  <c r="L37" i="1"/>
  <c r="N37" i="1" s="1"/>
  <c r="R37" i="1" s="1"/>
  <c r="W36" i="1"/>
  <c r="U36" i="1"/>
  <c r="S36" i="1"/>
  <c r="L36" i="1"/>
  <c r="W35" i="1"/>
  <c r="U35" i="1"/>
  <c r="S35" i="1"/>
  <c r="N35" i="1"/>
  <c r="R35" i="1" s="1"/>
  <c r="L35" i="1"/>
  <c r="W34" i="1"/>
  <c r="U34" i="1"/>
  <c r="S34" i="1"/>
  <c r="Q34" i="1"/>
  <c r="N34" i="1"/>
  <c r="M34" i="1"/>
  <c r="M33" i="1" s="1"/>
  <c r="L34" i="1"/>
  <c r="K34" i="1"/>
  <c r="W33" i="1"/>
  <c r="S33" i="1"/>
  <c r="Q33" i="1"/>
  <c r="P33" i="1"/>
  <c r="O33" i="1"/>
  <c r="K33" i="1"/>
  <c r="W31" i="1"/>
  <c r="U31" i="1"/>
  <c r="S31" i="1"/>
  <c r="O31" i="1"/>
  <c r="N31" i="1"/>
  <c r="R31" i="1" s="1"/>
  <c r="T31" i="1" s="1"/>
  <c r="L31" i="1"/>
  <c r="W30" i="1"/>
  <c r="V30" i="1"/>
  <c r="U30" i="1"/>
  <c r="S30" i="1"/>
  <c r="R30" i="1"/>
  <c r="M30" i="1"/>
  <c r="N30" i="1" s="1"/>
  <c r="W29" i="1"/>
  <c r="U29" i="1"/>
  <c r="S29" i="1"/>
  <c r="L29" i="1"/>
  <c r="L27" i="1" s="1"/>
  <c r="W28" i="1"/>
  <c r="U28" i="1"/>
  <c r="S28" i="1"/>
  <c r="N28" i="1"/>
  <c r="M28" i="1"/>
  <c r="L28" i="1"/>
  <c r="K28" i="1"/>
  <c r="K27" i="1" s="1"/>
  <c r="S27" i="1"/>
  <c r="Q27" i="1"/>
  <c r="P27" i="1"/>
  <c r="O27" i="1"/>
  <c r="M27" i="1"/>
  <c r="L25" i="1"/>
  <c r="N25" i="1" s="1"/>
  <c r="R25" i="1" s="1"/>
  <c r="X25" i="1" s="1"/>
  <c r="W24" i="1"/>
  <c r="U24" i="1"/>
  <c r="S24" i="1"/>
  <c r="O24" i="1"/>
  <c r="M24" i="1"/>
  <c r="M19" i="1" s="1"/>
  <c r="L24" i="1"/>
  <c r="W23" i="1"/>
  <c r="V23" i="1"/>
  <c r="U23" i="1"/>
  <c r="S23" i="1"/>
  <c r="T23" i="1" s="1"/>
  <c r="R23" i="1"/>
  <c r="N23" i="1"/>
  <c r="W22" i="1"/>
  <c r="V22" i="1"/>
  <c r="U22" i="1"/>
  <c r="S22" i="1"/>
  <c r="R22" i="1"/>
  <c r="L22" i="1"/>
  <c r="K22" i="1"/>
  <c r="N22" i="1" s="1"/>
  <c r="W21" i="1"/>
  <c r="U21" i="1"/>
  <c r="S21" i="1"/>
  <c r="L21" i="1"/>
  <c r="N21" i="1" s="1"/>
  <c r="R21" i="1" s="1"/>
  <c r="W20" i="1"/>
  <c r="U20" i="1"/>
  <c r="S20" i="1"/>
  <c r="Q20" i="1"/>
  <c r="Q19" i="1" s="1"/>
  <c r="M20" i="1"/>
  <c r="L20" i="1"/>
  <c r="L19" i="1" s="1"/>
  <c r="K20" i="1"/>
  <c r="P19" i="1"/>
  <c r="O19" i="1"/>
  <c r="W17" i="1"/>
  <c r="W16" i="1" s="1"/>
  <c r="U17" i="1"/>
  <c r="S17" i="1"/>
  <c r="S16" i="1" s="1"/>
  <c r="L17" i="1"/>
  <c r="L16" i="1" s="1"/>
  <c r="K17" i="1"/>
  <c r="U16" i="1"/>
  <c r="Q16" i="1"/>
  <c r="P16" i="1"/>
  <c r="O16" i="1"/>
  <c r="M16" i="1"/>
  <c r="W14" i="1"/>
  <c r="U14" i="1"/>
  <c r="S14" i="1"/>
  <c r="K14" i="1"/>
  <c r="U13" i="1"/>
  <c r="Q13" i="1"/>
  <c r="Q106" i="1" s="1"/>
  <c r="P13" i="1"/>
  <c r="P106" i="1" s="1"/>
  <c r="P372" i="1" s="1"/>
  <c r="O13" i="1"/>
  <c r="M13" i="1"/>
  <c r="L13" i="1"/>
  <c r="T51" i="1" l="1"/>
  <c r="X51" i="1"/>
  <c r="V185" i="1"/>
  <c r="R182" i="1"/>
  <c r="V182" i="1" s="1"/>
  <c r="V246" i="1"/>
  <c r="T246" i="1"/>
  <c r="X246" i="1"/>
  <c r="X38" i="1"/>
  <c r="T38" i="1"/>
  <c r="T64" i="1"/>
  <c r="V64" i="1"/>
  <c r="X64" i="1"/>
  <c r="X37" i="1"/>
  <c r="V37" i="1"/>
  <c r="T37" i="1"/>
  <c r="T118" i="1"/>
  <c r="X118" i="1"/>
  <c r="X170" i="1"/>
  <c r="T170" i="1"/>
  <c r="T21" i="1"/>
  <c r="X21" i="1"/>
  <c r="X45" i="1"/>
  <c r="T45" i="1"/>
  <c r="V45" i="1"/>
  <c r="X134" i="1"/>
  <c r="T134" i="1"/>
  <c r="V134" i="1"/>
  <c r="T166" i="1"/>
  <c r="X166" i="1"/>
  <c r="V169" i="1"/>
  <c r="T169" i="1"/>
  <c r="X169" i="1"/>
  <c r="T175" i="1"/>
  <c r="V175" i="1"/>
  <c r="X175" i="1"/>
  <c r="N17" i="1"/>
  <c r="K16" i="1"/>
  <c r="V21" i="1"/>
  <c r="W27" i="1"/>
  <c r="V31" i="1"/>
  <c r="U33" i="1"/>
  <c r="V35" i="1"/>
  <c r="T59" i="1"/>
  <c r="X59" i="1"/>
  <c r="V59" i="1"/>
  <c r="X62" i="1"/>
  <c r="W61" i="1"/>
  <c r="X82" i="1"/>
  <c r="N95" i="1"/>
  <c r="R96" i="1"/>
  <c r="X109" i="1"/>
  <c r="V109" i="1"/>
  <c r="T110" i="1"/>
  <c r="X110" i="1"/>
  <c r="V110" i="1"/>
  <c r="M108" i="1"/>
  <c r="N112" i="1"/>
  <c r="V117" i="1"/>
  <c r="U115" i="1"/>
  <c r="X133" i="1"/>
  <c r="X160" i="1"/>
  <c r="T162" i="1"/>
  <c r="V166" i="1"/>
  <c r="V178" i="1"/>
  <c r="K192" i="1"/>
  <c r="N194" i="1"/>
  <c r="R194" i="1" s="1"/>
  <c r="T198" i="1"/>
  <c r="N205" i="1"/>
  <c r="R205" i="1" s="1"/>
  <c r="L202" i="1"/>
  <c r="X211" i="1"/>
  <c r="X213" i="1"/>
  <c r="U215" i="1"/>
  <c r="V216" i="1"/>
  <c r="T219" i="1"/>
  <c r="V225" i="1"/>
  <c r="U222" i="1"/>
  <c r="V222" i="1" s="1"/>
  <c r="R239" i="1"/>
  <c r="N236" i="1"/>
  <c r="V244" i="1"/>
  <c r="T250" i="1"/>
  <c r="S248" i="1"/>
  <c r="N253" i="1"/>
  <c r="K252" i="1"/>
  <c r="X254" i="1"/>
  <c r="V254" i="1"/>
  <c r="X262" i="1"/>
  <c r="T262" i="1"/>
  <c r="X274" i="1"/>
  <c r="X283" i="1"/>
  <c r="T283" i="1"/>
  <c r="T289" i="1"/>
  <c r="R289" i="1"/>
  <c r="X290" i="1"/>
  <c r="T290" i="1"/>
  <c r="T310" i="1"/>
  <c r="S307" i="1"/>
  <c r="X315" i="1"/>
  <c r="N333" i="1"/>
  <c r="R333" i="1" s="1"/>
  <c r="V333" i="1" s="1"/>
  <c r="L330" i="1"/>
  <c r="S336" i="1"/>
  <c r="X341" i="1"/>
  <c r="T341" i="1"/>
  <c r="U361" i="1"/>
  <c r="U19" i="1"/>
  <c r="X22" i="1"/>
  <c r="W19" i="1"/>
  <c r="U27" i="1"/>
  <c r="N29" i="1"/>
  <c r="R29" i="1" s="1"/>
  <c r="X29" i="1" s="1"/>
  <c r="R44" i="1"/>
  <c r="V44" i="1" s="1"/>
  <c r="X44" i="1"/>
  <c r="R48" i="1"/>
  <c r="N47" i="1"/>
  <c r="T49" i="1"/>
  <c r="L61" i="1"/>
  <c r="L106" i="1" s="1"/>
  <c r="N63" i="1"/>
  <c r="T67" i="1"/>
  <c r="T69" i="1"/>
  <c r="V69" i="1"/>
  <c r="M78" i="1"/>
  <c r="N79" i="1"/>
  <c r="T82" i="1"/>
  <c r="V84" i="1"/>
  <c r="X85" i="1"/>
  <c r="U92" i="1"/>
  <c r="X98" i="1"/>
  <c r="T109" i="1"/>
  <c r="R113" i="1"/>
  <c r="N124" i="1"/>
  <c r="K123" i="1"/>
  <c r="T125" i="1"/>
  <c r="V130" i="1"/>
  <c r="W132" i="1"/>
  <c r="N140" i="1"/>
  <c r="K139" i="1"/>
  <c r="T142" i="1"/>
  <c r="L144" i="1"/>
  <c r="S144" i="1"/>
  <c r="T146" i="1"/>
  <c r="R150" i="1"/>
  <c r="X159" i="1"/>
  <c r="T160" i="1"/>
  <c r="V161" i="1"/>
  <c r="U164" i="1"/>
  <c r="S164" i="1"/>
  <c r="X176" i="1"/>
  <c r="X178" i="1"/>
  <c r="X182" i="1"/>
  <c r="R188" i="1"/>
  <c r="T189" i="1"/>
  <c r="N190" i="1"/>
  <c r="R190" i="1" s="1"/>
  <c r="V195" i="1"/>
  <c r="W198" i="1"/>
  <c r="X198" i="1" s="1"/>
  <c r="X199" i="1"/>
  <c r="T200" i="1"/>
  <c r="V204" i="1"/>
  <c r="R208" i="1"/>
  <c r="X209" i="1"/>
  <c r="V210" i="1"/>
  <c r="T211" i="1"/>
  <c r="X218" i="1"/>
  <c r="V220" i="1"/>
  <c r="L232" i="1"/>
  <c r="N234" i="1"/>
  <c r="R234" i="1" s="1"/>
  <c r="M241" i="1"/>
  <c r="N242" i="1"/>
  <c r="R249" i="1"/>
  <c r="N248" i="1"/>
  <c r="W252" i="1"/>
  <c r="R257" i="1"/>
  <c r="T264" i="1"/>
  <c r="X264" i="1"/>
  <c r="V264" i="1"/>
  <c r="R267" i="1"/>
  <c r="R282" i="1"/>
  <c r="X282" i="1" s="1"/>
  <c r="V289" i="1"/>
  <c r="X303" i="1"/>
  <c r="T303" i="1"/>
  <c r="R309" i="1"/>
  <c r="R307" i="1" s="1"/>
  <c r="V307" i="1" s="1"/>
  <c r="X327" i="1"/>
  <c r="T327" i="1"/>
  <c r="V327" i="1"/>
  <c r="V353" i="1"/>
  <c r="U352" i="1"/>
  <c r="X369" i="1"/>
  <c r="T369" i="1"/>
  <c r="K13" i="1"/>
  <c r="N14" i="1"/>
  <c r="W13" i="1"/>
  <c r="T22" i="1"/>
  <c r="S19" i="1"/>
  <c r="N24" i="1"/>
  <c r="R24" i="1" s="1"/>
  <c r="X24" i="1" s="1"/>
  <c r="T25" i="1"/>
  <c r="N27" i="1"/>
  <c r="X30" i="1"/>
  <c r="X31" i="1"/>
  <c r="R34" i="1"/>
  <c r="L33" i="1"/>
  <c r="V38" i="1"/>
  <c r="X43" i="1"/>
  <c r="W40" i="1"/>
  <c r="V51" i="1"/>
  <c r="X55" i="1"/>
  <c r="V55" i="1"/>
  <c r="K57" i="1"/>
  <c r="N58" i="1"/>
  <c r="T62" i="1"/>
  <c r="S61" i="1"/>
  <c r="X69" i="1"/>
  <c r="V70" i="1"/>
  <c r="X73" i="1"/>
  <c r="N75" i="1"/>
  <c r="R75" i="1"/>
  <c r="X75" i="1" s="1"/>
  <c r="R81" i="1"/>
  <c r="V81" i="1" s="1"/>
  <c r="X81" i="1"/>
  <c r="T85" i="1"/>
  <c r="T87" i="1"/>
  <c r="N93" i="1"/>
  <c r="L92" i="1"/>
  <c r="S98" i="1"/>
  <c r="T98" i="1" s="1"/>
  <c r="N116" i="1"/>
  <c r="K115" i="1"/>
  <c r="V118" i="1"/>
  <c r="S120" i="1"/>
  <c r="W120" i="1"/>
  <c r="X126" i="1"/>
  <c r="N132" i="1"/>
  <c r="R132" i="1"/>
  <c r="V132" i="1" s="1"/>
  <c r="V142" i="1"/>
  <c r="V146" i="1"/>
  <c r="M152" i="1"/>
  <c r="N153" i="1"/>
  <c r="T155" i="1"/>
  <c r="N165" i="1"/>
  <c r="K164" i="1"/>
  <c r="S172" i="1"/>
  <c r="R172" i="1"/>
  <c r="T174" i="1"/>
  <c r="T176" i="1"/>
  <c r="R180" i="1"/>
  <c r="V189" i="1"/>
  <c r="U187" i="1"/>
  <c r="U192" i="1"/>
  <c r="V198" i="1"/>
  <c r="R203" i="1"/>
  <c r="R202" i="1" s="1"/>
  <c r="V202" i="1" s="1"/>
  <c r="N202" i="1"/>
  <c r="N208" i="1"/>
  <c r="L208" i="1"/>
  <c r="N210" i="1"/>
  <c r="R210" i="1" s="1"/>
  <c r="T210" i="1" s="1"/>
  <c r="L215" i="1"/>
  <c r="N222" i="1"/>
  <c r="R222" i="1"/>
  <c r="X222" i="1" s="1"/>
  <c r="T227" i="1"/>
  <c r="W241" i="1"/>
  <c r="X243" i="1"/>
  <c r="X244" i="1"/>
  <c r="V245" i="1"/>
  <c r="N260" i="1"/>
  <c r="R261" i="1"/>
  <c r="X263" i="1"/>
  <c r="V263" i="1"/>
  <c r="X268" i="1"/>
  <c r="N274" i="1"/>
  <c r="X279" i="1"/>
  <c r="U285" i="1"/>
  <c r="V290" i="1"/>
  <c r="R315" i="1"/>
  <c r="V315" i="1" s="1"/>
  <c r="X316" i="1"/>
  <c r="T316" i="1"/>
  <c r="R320" i="1"/>
  <c r="N319" i="1"/>
  <c r="T322" i="1"/>
  <c r="X331" i="1"/>
  <c r="T331" i="1"/>
  <c r="V331" i="1"/>
  <c r="V334" i="1"/>
  <c r="X342" i="1"/>
  <c r="T342" i="1"/>
  <c r="M106" i="1"/>
  <c r="S13" i="1"/>
  <c r="N20" i="1"/>
  <c r="K19" i="1"/>
  <c r="X23" i="1"/>
  <c r="V25" i="1"/>
  <c r="R28" i="1"/>
  <c r="T30" i="1"/>
  <c r="T35" i="1"/>
  <c r="N36" i="1"/>
  <c r="R36" i="1" s="1"/>
  <c r="R41" i="1"/>
  <c r="T42" i="1"/>
  <c r="T50" i="1"/>
  <c r="T55" i="1"/>
  <c r="V62" i="1"/>
  <c r="T76" i="1"/>
  <c r="T81" i="1"/>
  <c r="V85" i="1"/>
  <c r="V86" i="1"/>
  <c r="V87" i="1"/>
  <c r="N89" i="1"/>
  <c r="R90" i="1"/>
  <c r="X99" i="1"/>
  <c r="L108" i="1"/>
  <c r="T117" i="1"/>
  <c r="T126" i="1"/>
  <c r="T132" i="1"/>
  <c r="X146" i="1"/>
  <c r="L152" i="1"/>
  <c r="T154" i="1"/>
  <c r="X155" i="1"/>
  <c r="V160" i="1"/>
  <c r="T159" i="1"/>
  <c r="M164" i="1"/>
  <c r="U172" i="1"/>
  <c r="V174" i="1"/>
  <c r="T183" i="1"/>
  <c r="S182" i="1"/>
  <c r="T182" i="1" s="1"/>
  <c r="X185" i="1"/>
  <c r="X193" i="1"/>
  <c r="X200" i="1"/>
  <c r="S202" i="1"/>
  <c r="V209" i="1"/>
  <c r="U208" i="1"/>
  <c r="V208" i="1" s="1"/>
  <c r="V213" i="1"/>
  <c r="T216" i="1"/>
  <c r="S215" i="1"/>
  <c r="N217" i="1"/>
  <c r="X219" i="1"/>
  <c r="T223" i="1"/>
  <c r="S222" i="1"/>
  <c r="T222" i="1" s="1"/>
  <c r="K229" i="1"/>
  <c r="N230" i="1"/>
  <c r="R236" i="1"/>
  <c r="X236" i="1" s="1"/>
  <c r="U241" i="1"/>
  <c r="S241" i="1"/>
  <c r="T243" i="1"/>
  <c r="L241" i="1"/>
  <c r="N245" i="1"/>
  <c r="R245" i="1" s="1"/>
  <c r="T245" i="1" s="1"/>
  <c r="X250" i="1"/>
  <c r="V250" i="1"/>
  <c r="L256" i="1"/>
  <c r="N258" i="1"/>
  <c r="R258" i="1" s="1"/>
  <c r="V262" i="1"/>
  <c r="T263" i="1"/>
  <c r="S260" i="1"/>
  <c r="T268" i="1"/>
  <c r="M277" i="1"/>
  <c r="V283" i="1"/>
  <c r="N287" i="1"/>
  <c r="K285" i="1"/>
  <c r="N289" i="1"/>
  <c r="T291" i="1"/>
  <c r="T292" i="1"/>
  <c r="X292" i="1"/>
  <c r="V292" i="1"/>
  <c r="X294" i="1"/>
  <c r="X295" i="1"/>
  <c r="T295" i="1"/>
  <c r="X296" i="1"/>
  <c r="X308" i="1"/>
  <c r="T308" i="1"/>
  <c r="L307" i="1"/>
  <c r="N311" i="1"/>
  <c r="R311" i="1" s="1"/>
  <c r="T311" i="1" s="1"/>
  <c r="T315" i="1"/>
  <c r="X334" i="1"/>
  <c r="V341" i="1"/>
  <c r="X350" i="1"/>
  <c r="X363" i="1"/>
  <c r="T363" i="1"/>
  <c r="R368" i="1"/>
  <c r="V291" i="1"/>
  <c r="X312" i="1"/>
  <c r="V320" i="1"/>
  <c r="X323" i="1"/>
  <c r="R326" i="1"/>
  <c r="N325" i="1"/>
  <c r="U330" i="1"/>
  <c r="K336" i="1"/>
  <c r="N337" i="1"/>
  <c r="V349" i="1"/>
  <c r="U348" i="1"/>
  <c r="T350" i="1"/>
  <c r="S348" i="1"/>
  <c r="V354" i="1"/>
  <c r="U40" i="1"/>
  <c r="T44" i="1"/>
  <c r="U47" i="1"/>
  <c r="V49" i="1"/>
  <c r="V67" i="1"/>
  <c r="X70" i="1"/>
  <c r="V76" i="1"/>
  <c r="L115" i="1"/>
  <c r="L123" i="1"/>
  <c r="T133" i="1"/>
  <c r="V145" i="1"/>
  <c r="U152" i="1"/>
  <c r="V156" i="1"/>
  <c r="X161" i="1"/>
  <c r="O164" i="1"/>
  <c r="O370" i="1" s="1"/>
  <c r="V173" i="1"/>
  <c r="T185" i="1"/>
  <c r="R193" i="1"/>
  <c r="W208" i="1"/>
  <c r="X212" i="1"/>
  <c r="V226" i="1"/>
  <c r="V233" i="1"/>
  <c r="U236" i="1"/>
  <c r="V236" i="1" s="1"/>
  <c r="X245" i="1"/>
  <c r="S252" i="1"/>
  <c r="X261" i="1"/>
  <c r="T274" i="1"/>
  <c r="T275" i="1"/>
  <c r="X286" i="1"/>
  <c r="T286" i="1"/>
  <c r="X291" i="1"/>
  <c r="W289" i="1"/>
  <c r="X289" i="1" s="1"/>
  <c r="K307" i="1"/>
  <c r="V310" i="1"/>
  <c r="W307" i="1"/>
  <c r="K319" i="1"/>
  <c r="T323" i="1"/>
  <c r="R332" i="1"/>
  <c r="N330" i="1"/>
  <c r="S330" i="1"/>
  <c r="W336" i="1"/>
  <c r="X345" i="1"/>
  <c r="W344" i="1"/>
  <c r="X344" i="1" s="1"/>
  <c r="X353" i="1"/>
  <c r="T353" i="1"/>
  <c r="S356" i="1"/>
  <c r="T357" i="1"/>
  <c r="N359" i="1"/>
  <c r="R359" i="1" s="1"/>
  <c r="V359" i="1" s="1"/>
  <c r="L356" i="1"/>
  <c r="O106" i="1"/>
  <c r="V24" i="1"/>
  <c r="X35" i="1"/>
  <c r="V41" i="1"/>
  <c r="N42" i="1"/>
  <c r="R42" i="1" s="1"/>
  <c r="X42" i="1" s="1"/>
  <c r="X50" i="1"/>
  <c r="N54" i="1"/>
  <c r="T70" i="1"/>
  <c r="K72" i="1"/>
  <c r="R73" i="1"/>
  <c r="U75" i="1"/>
  <c r="N84" i="1"/>
  <c r="N105" i="1"/>
  <c r="T111" i="1"/>
  <c r="X111" i="1"/>
  <c r="X117" i="1"/>
  <c r="N121" i="1"/>
  <c r="U120" i="1"/>
  <c r="N125" i="1"/>
  <c r="R125" i="1" s="1"/>
  <c r="X125" i="1" s="1"/>
  <c r="N129" i="1"/>
  <c r="K128" i="1"/>
  <c r="K370" i="1" s="1"/>
  <c r="L132" i="1"/>
  <c r="S139" i="1"/>
  <c r="X142" i="1"/>
  <c r="R145" i="1"/>
  <c r="N144" i="1"/>
  <c r="X157" i="1"/>
  <c r="N159" i="1"/>
  <c r="T161" i="1"/>
  <c r="W164" i="1"/>
  <c r="N172" i="1"/>
  <c r="W172" i="1"/>
  <c r="X174" i="1"/>
  <c r="X177" i="1"/>
  <c r="X189" i="1"/>
  <c r="X195" i="1"/>
  <c r="V200" i="1"/>
  <c r="V203" i="1"/>
  <c r="S208" i="1"/>
  <c r="X210" i="1"/>
  <c r="T212" i="1"/>
  <c r="T213" i="1"/>
  <c r="X216" i="1"/>
  <c r="L222" i="1"/>
  <c r="T225" i="1"/>
  <c r="X227" i="1"/>
  <c r="N232" i="1"/>
  <c r="W232" i="1"/>
  <c r="X233" i="1"/>
  <c r="V237" i="1"/>
  <c r="T238" i="1"/>
  <c r="S236" i="1"/>
  <c r="S256" i="1"/>
  <c r="L277" i="1"/>
  <c r="V282" i="1"/>
  <c r="V286" i="1"/>
  <c r="L289" i="1"/>
  <c r="S300" i="1"/>
  <c r="N300" i="1"/>
  <c r="R301" i="1"/>
  <c r="X302" i="1"/>
  <c r="N304" i="1"/>
  <c r="R304" i="1" s="1"/>
  <c r="L315" i="1"/>
  <c r="V316" i="1"/>
  <c r="U319" i="1"/>
  <c r="W322" i="1"/>
  <c r="X322" i="1" s="1"/>
  <c r="L325" i="1"/>
  <c r="Q325" i="1"/>
  <c r="Q370" i="1" s="1"/>
  <c r="Q372" i="1" s="1"/>
  <c r="N338" i="1"/>
  <c r="R338" i="1" s="1"/>
  <c r="L336" i="1"/>
  <c r="T345" i="1"/>
  <c r="S344" i="1"/>
  <c r="T344" i="1" s="1"/>
  <c r="U344" i="1"/>
  <c r="V344" i="1" s="1"/>
  <c r="V346" i="1"/>
  <c r="N354" i="1"/>
  <c r="R354" i="1" s="1"/>
  <c r="R352" i="1" s="1"/>
  <c r="X352" i="1" s="1"/>
  <c r="X354" i="1"/>
  <c r="X357" i="1"/>
  <c r="U356" i="1"/>
  <c r="V223" i="1"/>
  <c r="T237" i="1"/>
  <c r="T254" i="1"/>
  <c r="X275" i="1"/>
  <c r="R278" i="1"/>
  <c r="N277" i="1"/>
  <c r="X310" i="1"/>
  <c r="T312" i="1"/>
  <c r="X333" i="1"/>
  <c r="W330" i="1"/>
  <c r="R349" i="1"/>
  <c r="N348" i="1"/>
  <c r="X349" i="1"/>
  <c r="N352" i="1"/>
  <c r="S352" i="1"/>
  <c r="N358" i="1"/>
  <c r="K356" i="1"/>
  <c r="T359" i="1"/>
  <c r="T334" i="1"/>
  <c r="T346" i="1"/>
  <c r="X359" i="1"/>
  <c r="R362" i="1"/>
  <c r="N361" i="1"/>
  <c r="T144" i="1" l="1"/>
  <c r="R361" i="1"/>
  <c r="X362" i="1"/>
  <c r="R358" i="1"/>
  <c r="N356" i="1"/>
  <c r="T362" i="1"/>
  <c r="V301" i="1"/>
  <c r="R300" i="1"/>
  <c r="X301" i="1"/>
  <c r="T301" i="1"/>
  <c r="T256" i="1"/>
  <c r="O372" i="1"/>
  <c r="V40" i="1"/>
  <c r="R287" i="1"/>
  <c r="N285" i="1"/>
  <c r="R89" i="1"/>
  <c r="V90" i="1"/>
  <c r="T90" i="1"/>
  <c r="X90" i="1"/>
  <c r="T36" i="1"/>
  <c r="X36" i="1"/>
  <c r="R27" i="1"/>
  <c r="T27" i="1" s="1"/>
  <c r="X28" i="1"/>
  <c r="T28" i="1"/>
  <c r="X320" i="1"/>
  <c r="R319" i="1"/>
  <c r="T320" i="1"/>
  <c r="R116" i="1"/>
  <c r="N115" i="1"/>
  <c r="X40" i="1"/>
  <c r="V36" i="1"/>
  <c r="K106" i="1"/>
  <c r="K372" i="1" s="1"/>
  <c r="V352" i="1"/>
  <c r="R256" i="1"/>
  <c r="T257" i="1"/>
  <c r="X257" i="1"/>
  <c r="X249" i="1"/>
  <c r="T249" i="1"/>
  <c r="R248" i="1"/>
  <c r="V249" i="1"/>
  <c r="R47" i="1"/>
  <c r="T48" i="1"/>
  <c r="X48" i="1"/>
  <c r="N252" i="1"/>
  <c r="R253" i="1"/>
  <c r="R112" i="1"/>
  <c r="N108" i="1"/>
  <c r="R95" i="1"/>
  <c r="T96" i="1"/>
  <c r="X96" i="1"/>
  <c r="X27" i="1"/>
  <c r="R277" i="1"/>
  <c r="X278" i="1"/>
  <c r="V278" i="1"/>
  <c r="T278" i="1"/>
  <c r="N128" i="1"/>
  <c r="R129" i="1"/>
  <c r="R121" i="1"/>
  <c r="N120" i="1"/>
  <c r="V48" i="1"/>
  <c r="X332" i="1"/>
  <c r="T332" i="1"/>
  <c r="X208" i="1"/>
  <c r="V47" i="1"/>
  <c r="T348" i="1"/>
  <c r="N336" i="1"/>
  <c r="R337" i="1"/>
  <c r="X258" i="1"/>
  <c r="V258" i="1"/>
  <c r="L370" i="1"/>
  <c r="L372" i="1" s="1"/>
  <c r="S106" i="1"/>
  <c r="R165" i="1"/>
  <c r="N164" i="1"/>
  <c r="R93" i="1"/>
  <c r="N92" i="1"/>
  <c r="W106" i="1"/>
  <c r="R242" i="1"/>
  <c r="N241" i="1"/>
  <c r="N139" i="1"/>
  <c r="R140" i="1"/>
  <c r="R79" i="1"/>
  <c r="N78" i="1"/>
  <c r="V361" i="1"/>
  <c r="T248" i="1"/>
  <c r="X194" i="1"/>
  <c r="T194" i="1"/>
  <c r="V194" i="1"/>
  <c r="M370" i="1"/>
  <c r="M372" i="1" s="1"/>
  <c r="V33" i="1"/>
  <c r="T354" i="1"/>
  <c r="T236" i="1"/>
  <c r="X172" i="1"/>
  <c r="R144" i="1"/>
  <c r="X145" i="1"/>
  <c r="N104" i="1"/>
  <c r="R105" i="1"/>
  <c r="R104" i="1" s="1"/>
  <c r="V75" i="1"/>
  <c r="X307" i="1"/>
  <c r="V257" i="1"/>
  <c r="N192" i="1"/>
  <c r="T326" i="1"/>
  <c r="R325" i="1"/>
  <c r="X326" i="1"/>
  <c r="V326" i="1"/>
  <c r="V311" i="1"/>
  <c r="X368" i="1"/>
  <c r="T368" i="1"/>
  <c r="V368" i="1"/>
  <c r="R230" i="1"/>
  <c r="N229" i="1"/>
  <c r="T203" i="1"/>
  <c r="V172" i="1"/>
  <c r="N40" i="1"/>
  <c r="R20" i="1"/>
  <c r="N19" i="1"/>
  <c r="R260" i="1"/>
  <c r="V261" i="1"/>
  <c r="X203" i="1"/>
  <c r="T172" i="1"/>
  <c r="T145" i="1"/>
  <c r="W370" i="1"/>
  <c r="R33" i="1"/>
  <c r="V34" i="1"/>
  <c r="T34" i="1"/>
  <c r="X34" i="1"/>
  <c r="T29" i="1"/>
  <c r="X202" i="1"/>
  <c r="N187" i="1"/>
  <c r="X150" i="1"/>
  <c r="T150" i="1"/>
  <c r="R149" i="1"/>
  <c r="V150" i="1"/>
  <c r="X132" i="1"/>
  <c r="R124" i="1"/>
  <c r="N123" i="1"/>
  <c r="T24" i="1"/>
  <c r="V362" i="1"/>
  <c r="T239" i="1"/>
  <c r="X239" i="1"/>
  <c r="T352" i="1"/>
  <c r="R348" i="1"/>
  <c r="X348" i="1" s="1"/>
  <c r="T349" i="1"/>
  <c r="X338" i="1"/>
  <c r="T338" i="1"/>
  <c r="V338" i="1"/>
  <c r="T261" i="1"/>
  <c r="T208" i="1"/>
  <c r="R72" i="1"/>
  <c r="V73" i="1"/>
  <c r="N53" i="1"/>
  <c r="R54" i="1"/>
  <c r="T333" i="1"/>
  <c r="X311" i="1"/>
  <c r="V239" i="1"/>
  <c r="R192" i="1"/>
  <c r="T193" i="1"/>
  <c r="V125" i="1"/>
  <c r="S370" i="1"/>
  <c r="V42" i="1"/>
  <c r="V332" i="1"/>
  <c r="R217" i="1"/>
  <c r="N215" i="1"/>
  <c r="T202" i="1"/>
  <c r="U370" i="1"/>
  <c r="V96" i="1"/>
  <c r="R40" i="1"/>
  <c r="T40" i="1" s="1"/>
  <c r="T41" i="1"/>
  <c r="X41" i="1"/>
  <c r="V29" i="1"/>
  <c r="R330" i="1"/>
  <c r="X330" i="1" s="1"/>
  <c r="T282" i="1"/>
  <c r="V193" i="1"/>
  <c r="R153" i="1"/>
  <c r="N152" i="1"/>
  <c r="T75" i="1"/>
  <c r="N57" i="1"/>
  <c r="R58" i="1"/>
  <c r="N33" i="1"/>
  <c r="V28" i="1"/>
  <c r="R14" i="1"/>
  <c r="N13" i="1"/>
  <c r="N307" i="1"/>
  <c r="T267" i="1"/>
  <c r="X267" i="1"/>
  <c r="R266" i="1"/>
  <c r="V267" i="1"/>
  <c r="N256" i="1"/>
  <c r="X234" i="1"/>
  <c r="T234" i="1"/>
  <c r="R232" i="1"/>
  <c r="V234" i="1"/>
  <c r="R187" i="1"/>
  <c r="V188" i="1"/>
  <c r="T188" i="1"/>
  <c r="X188" i="1"/>
  <c r="R63" i="1"/>
  <c r="N61" i="1"/>
  <c r="T307" i="1"/>
  <c r="T258" i="1"/>
  <c r="U106" i="1"/>
  <c r="R17" i="1"/>
  <c r="N16" i="1"/>
  <c r="T73" i="1"/>
  <c r="X63" i="1" l="1"/>
  <c r="T63" i="1"/>
  <c r="V63" i="1"/>
  <c r="R61" i="1"/>
  <c r="X266" i="1"/>
  <c r="T266" i="1"/>
  <c r="V266" i="1"/>
  <c r="N106" i="1"/>
  <c r="T217" i="1"/>
  <c r="X217" i="1"/>
  <c r="R215" i="1"/>
  <c r="V217" i="1"/>
  <c r="V260" i="1"/>
  <c r="X260" i="1"/>
  <c r="R92" i="1"/>
  <c r="T93" i="1"/>
  <c r="V93" i="1"/>
  <c r="X93" i="1"/>
  <c r="R164" i="1"/>
  <c r="T165" i="1"/>
  <c r="V165" i="1"/>
  <c r="X165" i="1"/>
  <c r="S372" i="1"/>
  <c r="T260" i="1"/>
  <c r="R120" i="1"/>
  <c r="T121" i="1"/>
  <c r="X121" i="1"/>
  <c r="V121" i="1"/>
  <c r="N370" i="1"/>
  <c r="R115" i="1"/>
  <c r="X116" i="1"/>
  <c r="T116" i="1"/>
  <c r="V116" i="1"/>
  <c r="X319" i="1"/>
  <c r="T319" i="1"/>
  <c r="X300" i="1"/>
  <c r="V300" i="1"/>
  <c r="R16" i="1"/>
  <c r="X17" i="1"/>
  <c r="T17" i="1"/>
  <c r="V17" i="1"/>
  <c r="U372" i="1"/>
  <c r="X187" i="1"/>
  <c r="T187" i="1"/>
  <c r="R13" i="1"/>
  <c r="T14" i="1"/>
  <c r="V14" i="1"/>
  <c r="X14" i="1"/>
  <c r="X58" i="1"/>
  <c r="V58" i="1"/>
  <c r="R57" i="1"/>
  <c r="T58" i="1"/>
  <c r="X192" i="1"/>
  <c r="T192" i="1"/>
  <c r="T72" i="1"/>
  <c r="X72" i="1"/>
  <c r="V72" i="1"/>
  <c r="V319" i="1"/>
  <c r="X33" i="1"/>
  <c r="T33" i="1"/>
  <c r="V192" i="1"/>
  <c r="R19" i="1"/>
  <c r="V20" i="1"/>
  <c r="T20" i="1"/>
  <c r="X20" i="1"/>
  <c r="V144" i="1"/>
  <c r="X144" i="1"/>
  <c r="T300" i="1"/>
  <c r="T79" i="1"/>
  <c r="X79" i="1"/>
  <c r="R78" i="1"/>
  <c r="V79" i="1"/>
  <c r="W372" i="1"/>
  <c r="R128" i="1"/>
  <c r="V129" i="1"/>
  <c r="T129" i="1"/>
  <c r="X129" i="1"/>
  <c r="T112" i="1"/>
  <c r="X112" i="1"/>
  <c r="V112" i="1"/>
  <c r="R108" i="1"/>
  <c r="V248" i="1"/>
  <c r="X248" i="1"/>
  <c r="X358" i="1"/>
  <c r="R356" i="1"/>
  <c r="T358" i="1"/>
  <c r="V358" i="1"/>
  <c r="R152" i="1"/>
  <c r="X153" i="1"/>
  <c r="V153" i="1"/>
  <c r="T153" i="1"/>
  <c r="R53" i="1"/>
  <c r="X54" i="1"/>
  <c r="T54" i="1"/>
  <c r="V54" i="1"/>
  <c r="X149" i="1"/>
  <c r="T149" i="1"/>
  <c r="V149" i="1"/>
  <c r="T330" i="1"/>
  <c r="R139" i="1"/>
  <c r="V140" i="1"/>
  <c r="X140" i="1"/>
  <c r="T140" i="1"/>
  <c r="R252" i="1"/>
  <c r="V253" i="1"/>
  <c r="X253" i="1"/>
  <c r="T253" i="1"/>
  <c r="T47" i="1"/>
  <c r="X47" i="1"/>
  <c r="V256" i="1"/>
  <c r="X256" i="1"/>
  <c r="V187" i="1"/>
  <c r="X287" i="1"/>
  <c r="V287" i="1"/>
  <c r="T287" i="1"/>
  <c r="R285" i="1"/>
  <c r="T232" i="1"/>
  <c r="V232" i="1"/>
  <c r="V348" i="1"/>
  <c r="T124" i="1"/>
  <c r="X124" i="1"/>
  <c r="R123" i="1"/>
  <c r="V124" i="1"/>
  <c r="T230" i="1"/>
  <c r="V230" i="1"/>
  <c r="R229" i="1"/>
  <c r="X230" i="1"/>
  <c r="T325" i="1"/>
  <c r="X325" i="1"/>
  <c r="V325" i="1"/>
  <c r="X232" i="1"/>
  <c r="V27" i="1"/>
  <c r="R241" i="1"/>
  <c r="T242" i="1"/>
  <c r="X242" i="1"/>
  <c r="V242" i="1"/>
  <c r="R336" i="1"/>
  <c r="V337" i="1"/>
  <c r="T337" i="1"/>
  <c r="X337" i="1"/>
  <c r="V277" i="1"/>
  <c r="X277" i="1"/>
  <c r="T277" i="1"/>
  <c r="V95" i="1"/>
  <c r="X95" i="1"/>
  <c r="T95" i="1"/>
  <c r="X89" i="1"/>
  <c r="T89" i="1"/>
  <c r="V89" i="1"/>
  <c r="V330" i="1"/>
  <c r="X361" i="1"/>
  <c r="T361" i="1"/>
  <c r="X128" i="1" l="1"/>
  <c r="V128" i="1"/>
  <c r="T128" i="1"/>
  <c r="T19" i="1"/>
  <c r="X19" i="1"/>
  <c r="V19" i="1"/>
  <c r="N372" i="1"/>
  <c r="V61" i="1"/>
  <c r="T61" i="1"/>
  <c r="X61" i="1"/>
  <c r="V123" i="1"/>
  <c r="T123" i="1"/>
  <c r="X123" i="1"/>
  <c r="X285" i="1"/>
  <c r="T285" i="1"/>
  <c r="V285" i="1"/>
  <c r="V252" i="1"/>
  <c r="T252" i="1"/>
  <c r="X252" i="1"/>
  <c r="X139" i="1"/>
  <c r="V139" i="1"/>
  <c r="T139" i="1"/>
  <c r="X356" i="1"/>
  <c r="V356" i="1"/>
  <c r="T356" i="1"/>
  <c r="R370" i="1"/>
  <c r="V108" i="1"/>
  <c r="X108" i="1"/>
  <c r="T108" i="1"/>
  <c r="R106" i="1"/>
  <c r="V13" i="1"/>
  <c r="T13" i="1"/>
  <c r="X13" i="1"/>
  <c r="V16" i="1"/>
  <c r="X16" i="1"/>
  <c r="T16" i="1"/>
  <c r="X115" i="1"/>
  <c r="T115" i="1"/>
  <c r="V115" i="1"/>
  <c r="V164" i="1"/>
  <c r="T164" i="1"/>
  <c r="X164" i="1"/>
  <c r="X92" i="1"/>
  <c r="T92" i="1"/>
  <c r="V92" i="1"/>
  <c r="X215" i="1"/>
  <c r="V215" i="1"/>
  <c r="T215" i="1"/>
  <c r="V336" i="1"/>
  <c r="X336" i="1"/>
  <c r="T336" i="1"/>
  <c r="T152" i="1"/>
  <c r="X152" i="1"/>
  <c r="V152" i="1"/>
  <c r="V120" i="1"/>
  <c r="T120" i="1"/>
  <c r="X120" i="1"/>
  <c r="X241" i="1"/>
  <c r="V241" i="1"/>
  <c r="T241" i="1"/>
  <c r="T229" i="1"/>
  <c r="X229" i="1"/>
  <c r="V229" i="1"/>
  <c r="V53" i="1"/>
  <c r="X53" i="1"/>
  <c r="T53" i="1"/>
  <c r="T78" i="1"/>
  <c r="V78" i="1"/>
  <c r="X78" i="1"/>
  <c r="T57" i="1"/>
  <c r="X57" i="1"/>
  <c r="V57" i="1"/>
  <c r="R372" i="1" l="1"/>
  <c r="X106" i="1"/>
  <c r="T106" i="1"/>
  <c r="V106" i="1"/>
  <c r="T370" i="1"/>
  <c r="V370" i="1"/>
  <c r="X370" i="1"/>
  <c r="V372" i="1" l="1"/>
  <c r="T372" i="1"/>
  <c r="X372" i="1"/>
</calcChain>
</file>

<file path=xl/sharedStrings.xml><?xml version="1.0" encoding="utf-8"?>
<sst xmlns="http://schemas.openxmlformats.org/spreadsheetml/2006/main" count="2133" uniqueCount="256">
  <si>
    <t>PODER JUDICIÁRIO</t>
  </si>
  <si>
    <t>Orgão: 04 - Tribunal de Justiça do Estado do Pará</t>
  </si>
  <si>
    <t>Unidade Orçamentária: 04101 - Tribunal de Justiça do Estado</t>
  </si>
  <si>
    <t xml:space="preserve">                                          04102 - Fundo de Reaparelhamento do Poder Judiciário</t>
  </si>
  <si>
    <t>Mês de Referência: Novembro de 2019</t>
  </si>
  <si>
    <t>Data de Publicação: 19/12/2019</t>
  </si>
  <si>
    <t>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</si>
  <si>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</si>
  <si>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</si>
  <si>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</si>
  <si>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</si>
  <si>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</si>
  <si>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</si>
  <si>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</si>
  <si>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</si>
  <si>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</si>
  <si>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</si>
  <si>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</si>
  <si>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</si>
  <si>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</si>
  <si>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</si>
  <si>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</si>
  <si>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</si>
  <si>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</si>
  <si>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</si>
  <si>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</si>
  <si>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</si>
  <si>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</si>
  <si>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</si>
  <si>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</si>
  <si>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</si>
  <si>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</si>
  <si>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</si>
  <si>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</si>
  <si>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</si>
  <si>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</si>
  <si>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</si>
  <si>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</si>
  <si>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</si>
  <si>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</si>
  <si>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</si>
  <si>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</si>
  <si>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</si>
  <si>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</si>
  <si>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</si>
  <si>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</si>
  <si>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</si>
  <si>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040101</t>
  </si>
  <si>
    <t xml:space="preserve">Tribunal de Justiça do Estado </t>
  </si>
  <si>
    <t>1417 / 8157</t>
  </si>
  <si>
    <t xml:space="preserve">Atuação Jurisdicional </t>
  </si>
  <si>
    <t>Ampliação do Quadro Funcional - 1º Grau</t>
  </si>
  <si>
    <t>02 / 061</t>
  </si>
  <si>
    <t>0101</t>
  </si>
  <si>
    <t>Recursos Ordinários</t>
  </si>
  <si>
    <t>1417 / 8159</t>
  </si>
  <si>
    <t>Ampliação do Quadro Funcional - Apoio Indireto à Atividade Judicante</t>
  </si>
  <si>
    <t>1421 / 6853</t>
  </si>
  <si>
    <t>Manutenção da Gestão do Poder Judiciário</t>
  </si>
  <si>
    <t>Admin. de Recursos Humanos dos Serv. do Poder Judiciário - 1º Grau</t>
  </si>
  <si>
    <t>02 / 122</t>
  </si>
  <si>
    <t>0112</t>
  </si>
  <si>
    <t>Receita Patrimonial - Outros Poderes</t>
  </si>
  <si>
    <t>0301</t>
  </si>
  <si>
    <t>Recursos Ordinários - Superávit Financeiro</t>
  </si>
  <si>
    <t>0312</t>
  </si>
  <si>
    <t>Receita Patrimonial - Outros Poderes - Superávit Financeiro</t>
  </si>
  <si>
    <t>1421 / 6854</t>
  </si>
  <si>
    <t>Admin. de Recursos Humanos dos Serv. do Poder Judiciário - 2º Grau</t>
  </si>
  <si>
    <t>1421 / 6855</t>
  </si>
  <si>
    <t>Admin. de Rec. Hum. dos Serv. do Poder Judic. - Apoio Ind. à Ativ. Jud.</t>
  </si>
  <si>
    <t>1421 / 8189</t>
  </si>
  <si>
    <t>Administração de Recursos Humanos da Magistratura – 1º Grau</t>
  </si>
  <si>
    <t>1421 / 8190</t>
  </si>
  <si>
    <t>Administração de Recursos Humanos da Magistratura - 2º Grau</t>
  </si>
  <si>
    <t>1421 / 8191</t>
  </si>
  <si>
    <t>Administ. de Rec. Humanos dos Magist. e Servid. do Poder Judic.-Justiça Militar</t>
  </si>
  <si>
    <t>1421 / 8195</t>
  </si>
  <si>
    <t>Operacion. das Ações Admin. do Poder judic.  Apoio Ind. à Ativ. Jud.</t>
  </si>
  <si>
    <t>1421 / 8598</t>
  </si>
  <si>
    <t xml:space="preserve">Pagam. de Obrig. Patronais de Inativos e Pencionistas do Poder Judiciário Estadual </t>
  </si>
  <si>
    <t>1421 / 6844</t>
  </si>
  <si>
    <t>Contrib. do Poder Judic. ao Plano de Assistência à Saúde - 1º Grau</t>
  </si>
  <si>
    <t>02 / 302</t>
  </si>
  <si>
    <t>1421 / 6845</t>
  </si>
  <si>
    <t>Contrib. do Poder Judic. ao Plano de Assistência à Saúde - 2º Grau</t>
  </si>
  <si>
    <t>1421 / 6846</t>
  </si>
  <si>
    <t>Contrib. do Poder Judic. ao Plano de Assist. à Saúde – Apoio Ind. à Ativ. Judic.</t>
  </si>
  <si>
    <t>1421 / 6847</t>
  </si>
  <si>
    <t>Concessão de Auxílio Alimentação - 1º Grau</t>
  </si>
  <si>
    <t>02 / 331</t>
  </si>
  <si>
    <t>1421 / 6848</t>
  </si>
  <si>
    <t>Concessão de Auxílio Alimentação - 2º Grau</t>
  </si>
  <si>
    <t>1421 / 6849</t>
  </si>
  <si>
    <t>Concessão de Auxílio Alimentação - Apoio Indireto à Atividade Judicante</t>
  </si>
  <si>
    <t>1421 / 6850</t>
  </si>
  <si>
    <t>Concessão de Auxílio Transporte - 1º Grau</t>
  </si>
  <si>
    <t>1421 / 6851</t>
  </si>
  <si>
    <t>Concessão de Auxílio Transporte - 2º Grau</t>
  </si>
  <si>
    <t>1421 / 6852</t>
  </si>
  <si>
    <t>Concessão de Auxílio Transporte - Apoio Indireto à Atividade Judicante</t>
  </si>
  <si>
    <t>1421 / 8199</t>
  </si>
  <si>
    <t>Concessão de Auxílio Alimentação - Justiça Militar</t>
  </si>
  <si>
    <t>1421 / 8200</t>
  </si>
  <si>
    <t>Concessão de Auxílio Transporte - Justiça Militar</t>
  </si>
  <si>
    <t>1421 / 8600</t>
  </si>
  <si>
    <t>Concessão de Auxílio Moradia - 1º Grau</t>
  </si>
  <si>
    <t>1421 / 8601</t>
  </si>
  <si>
    <t>Concessão de Auxílio Moradia - 2º Grau</t>
  </si>
  <si>
    <t xml:space="preserve">Total - Unidade Orçamentária 040101 </t>
  </si>
  <si>
    <t>040102</t>
  </si>
  <si>
    <t xml:space="preserve">Fundo de Reaparelh. do Poder Judiciário </t>
  </si>
  <si>
    <t>1417 / 7638</t>
  </si>
  <si>
    <t>Implantação do Processo Judicial Eletrônico</t>
  </si>
  <si>
    <t>0106</t>
  </si>
  <si>
    <t>Rec. Prov. Transf. - Convênios e Outros</t>
  </si>
  <si>
    <t>0118</t>
  </si>
  <si>
    <t>Rec. Próp. Fundo Reapar.  Judic. - FRJ</t>
  </si>
  <si>
    <t>0318</t>
  </si>
  <si>
    <t>Rec. Próp. Fundo Reapar.  Judic. - FRJ - Superávit Financeiro</t>
  </si>
  <si>
    <t xml:space="preserve">1417 / 8625 </t>
  </si>
  <si>
    <t>Justiça e Cidadania</t>
  </si>
  <si>
    <t>1417 / 8626</t>
  </si>
  <si>
    <t>Operacion. das Ações Voltadas à Criança e ao Adolescente</t>
  </si>
  <si>
    <t>1417 / 8627</t>
  </si>
  <si>
    <t>Implementação das Ações da Justiça Especializada</t>
  </si>
  <si>
    <t>1417 / 8628</t>
  </si>
  <si>
    <t>Implem. das Ações da Correg. das Comarcas da RMB e Interior</t>
  </si>
  <si>
    <t>1417 / 8629</t>
  </si>
  <si>
    <t>Fortalecim.  Núcleo Perman. de Métodos Cons. de Res. de Conflitos (NUPEMEC)</t>
  </si>
  <si>
    <t>1417 / 8630</t>
  </si>
  <si>
    <t>Conciliação com a Justiça</t>
  </si>
  <si>
    <t>1417 / 8631</t>
  </si>
  <si>
    <t>Implementação das Ações da Justiça Criminal</t>
  </si>
  <si>
    <t>1418 / 8640</t>
  </si>
  <si>
    <t>Governança Institucional</t>
  </si>
  <si>
    <t>Gestão da Informação e Memória do Poder Judiciário</t>
  </si>
  <si>
    <t>1418 / 8642</t>
  </si>
  <si>
    <t>Implementação de Ações da Área Socioambiental</t>
  </si>
  <si>
    <t>1419 / 7639</t>
  </si>
  <si>
    <t>Infraestrutura e Gestão de TIC</t>
  </si>
  <si>
    <t>Ampliação da Infraest. Física do Poder Judiciário - 1º Grau</t>
  </si>
  <si>
    <t>1419 / 7640</t>
  </si>
  <si>
    <t>Ampliação da Infraest. Física do Poder Judiciário - 2º Grau</t>
  </si>
  <si>
    <t xml:space="preserve">1419 / 7641 </t>
  </si>
  <si>
    <t>Ampliação da Infraest. Física do Poder Judic. - Apoio Ind. à Ativ. Jud.</t>
  </si>
  <si>
    <t>1419 / 8644</t>
  </si>
  <si>
    <t>Reforma e Manutenção de Prédios do Poder Judiciário - 1º Grau</t>
  </si>
  <si>
    <t>3</t>
  </si>
  <si>
    <t>4</t>
  </si>
  <si>
    <t>1419 / 8645</t>
  </si>
  <si>
    <t>Reforma e Manutenção de Prédios do Poder Judiciário - 2º Grau</t>
  </si>
  <si>
    <t>1419 / 8646</t>
  </si>
  <si>
    <t>Reforma e Manut. de Prédios do Poder Judic. - Apoio Ind.  à Ativ. Jud.</t>
  </si>
  <si>
    <t>1419 / 8647</t>
  </si>
  <si>
    <t>Implem. do Prog. de Segur. e Acesso aos Préd. do Poder Jud. - 1º Grau</t>
  </si>
  <si>
    <t>1419 / 8648</t>
  </si>
  <si>
    <t>Implem. do Prog. de Segur. e Acesso aos Préd. do Poder Jud. - 2º Grau</t>
  </si>
  <si>
    <t>1419 / 8649</t>
  </si>
  <si>
    <t>Implem. do Prog. de Segur. e Acesso aos Préd. do Poder Jud. - Apoio Ind. à Ativ. Jud.</t>
  </si>
  <si>
    <t>1419 / 8654</t>
  </si>
  <si>
    <t>Aparelhamento das Unidades Judiciárias - 1º Grau</t>
  </si>
  <si>
    <t>0323</t>
  </si>
  <si>
    <t>Recursos Proven. de Alienação de Bens - Superávit Financeiro</t>
  </si>
  <si>
    <t>1419 / 8655</t>
  </si>
  <si>
    <t>Aparelhamento das Unidades Judiciárias - 2º Grau</t>
  </si>
  <si>
    <t>1419 / 8656</t>
  </si>
  <si>
    <t>Aparelhamento das Unidades Judiciárias - Apoio Ind. à Ativ. Jud.</t>
  </si>
  <si>
    <t>1418 / 8634</t>
  </si>
  <si>
    <t>Atenção Integral à Saúde de Magistrados e Servidores</t>
  </si>
  <si>
    <t>1418 / 8641</t>
  </si>
  <si>
    <t>Padroniz. de Rotinas, Procedim. e Ações do Controle Interno</t>
  </si>
  <si>
    <t>1421 / 8658</t>
  </si>
  <si>
    <t>Operacion. das Ações Administ. da Escola Sup. da Magistratura (ESM)</t>
  </si>
  <si>
    <t>1421 / 8659</t>
  </si>
  <si>
    <t>Operacionalização das Ações Administrativas do Poder Judiciário - 1º Grau</t>
  </si>
  <si>
    <t>1421 / 8666</t>
  </si>
  <si>
    <t>1421 / 8667</t>
  </si>
  <si>
    <t>1421 / 8668</t>
  </si>
  <si>
    <t>1421 / 8669</t>
  </si>
  <si>
    <t xml:space="preserve">Operacionalização das Ações Administrativas do Poder Judiciário - 2º Grau </t>
  </si>
  <si>
    <t>1421 / 8670</t>
  </si>
  <si>
    <t>1421 / 8684</t>
  </si>
  <si>
    <t>1421 / 8685</t>
  </si>
  <si>
    <t>Operacionalização das Ações Administrativas da Justiça Militar</t>
  </si>
  <si>
    <t>1419 / 8643</t>
  </si>
  <si>
    <t>Implementação do Sistema de Segurança da Informação</t>
  </si>
  <si>
    <t>02 / 126</t>
  </si>
  <si>
    <t>1419 / 8650</t>
  </si>
  <si>
    <t>Atualização Tecnológica dos Sistemas do Poder Judiciário</t>
  </si>
  <si>
    <t>1419 / 8651</t>
  </si>
  <si>
    <t xml:space="preserve">Atualiz., Exp. e Manut. da Infraest. de Tecnologia do Poder Jud. - 1º Grau </t>
  </si>
  <si>
    <t>1419 / 8652</t>
  </si>
  <si>
    <t xml:space="preserve">Atualiz., Exp. e Manut. da Infraest. de Tecnologia do Poder Jud. - 2º Grau </t>
  </si>
  <si>
    <t>1419 / 8653</t>
  </si>
  <si>
    <t>Atualiz., Exp. e Manut. da Infraest. de Tecn. do Poder Jud. - Apoio Ind. à Ativ. Jud.</t>
  </si>
  <si>
    <t>1418 / 8633</t>
  </si>
  <si>
    <t>Capacitação de Magistrados e Servidores - 1º Grau</t>
  </si>
  <si>
    <t>02 / 128</t>
  </si>
  <si>
    <t>1418 / 8635</t>
  </si>
  <si>
    <t>Capacitação de Magistrados e Servidores  - 2º Grau</t>
  </si>
  <si>
    <t>1418 / 8636</t>
  </si>
  <si>
    <t>Capacitação de Servidores - Apoio Ind. à Ativ. Judicante</t>
  </si>
  <si>
    <t>1418 / 8637</t>
  </si>
  <si>
    <t>Capacitação de Magistrados e Servidores pela ESM</t>
  </si>
  <si>
    <t>1418 / 8638</t>
  </si>
  <si>
    <t>Eventos Institucionais</t>
  </si>
  <si>
    <t>1418 / 8639</t>
  </si>
  <si>
    <t>Fiscaliz. das Rec. do Fundo de Reaparelham. do Judiciário (FRJ)</t>
  </si>
  <si>
    <t>02 / 129</t>
  </si>
  <si>
    <t>1418 / 8632</t>
  </si>
  <si>
    <t>Implementação das Ações de Comunicação e Publicidade</t>
  </si>
  <si>
    <t>02 / 131</t>
  </si>
  <si>
    <t>1421 / 8660</t>
  </si>
  <si>
    <t>1421 / 8661</t>
  </si>
  <si>
    <t>1421 / 8662</t>
  </si>
  <si>
    <t>1421 / 8657</t>
  </si>
  <si>
    <t>Assistência  Médica e Odontológica</t>
  </si>
  <si>
    <t>1421 / 8663</t>
  </si>
  <si>
    <t>1421 / 8664</t>
  </si>
  <si>
    <t>1421 / 8665</t>
  </si>
  <si>
    <t>Total - Unidade Orçamentária 040102</t>
  </si>
  <si>
    <t>Total Geral do Tribunal de Justiça</t>
  </si>
  <si>
    <t>Fonte: SIAFEM</t>
  </si>
  <si>
    <t>Legendas:</t>
  </si>
  <si>
    <t>Movimentação Líquida de Créditos: (-) Provisão Concedidas (coluna Provisão) e os Destaques Concedidos (coluna Destaque)</t>
  </si>
  <si>
    <t>Classificação Funcional: busca responder à indagação "em que" área de ação governamental a despesa será realizada (Anexo da Portaria nº 42, de 14 de abril de 1999, publicada no DOU, de 15 de abril de 1999</t>
  </si>
  <si>
    <t>Função:</t>
  </si>
  <si>
    <t>02 - Judiciária</t>
  </si>
  <si>
    <t>Subfunção:</t>
  </si>
  <si>
    <t xml:space="preserve">061 - Ação Judiciária </t>
  </si>
  <si>
    <t>126 - Tecnologia da Informação</t>
  </si>
  <si>
    <t xml:space="preserve">129 - Administração de Receitas </t>
  </si>
  <si>
    <t>302 - Assistência Hospitalar e Ambulatorial</t>
  </si>
  <si>
    <t>122 - Administração Geral</t>
  </si>
  <si>
    <t>128 - Formação de Recursos Humanos</t>
  </si>
  <si>
    <t>131 - Comunicação Social</t>
  </si>
  <si>
    <t>331 - Proteção e Benefícios ao Trabalhador</t>
  </si>
  <si>
    <t>Esfera Orçamentária: A esfera orçamentária tem por finalidade identificar se o orçamento é fiscal, da seguridade social ou de investimentos das empresas estatais, conforme disposto no § 5º do art. 165 da Constituição.</t>
  </si>
  <si>
    <t>1 - Orçamento fiscal</t>
  </si>
  <si>
    <t>2 - Orçamento da Seguridade Social</t>
  </si>
  <si>
    <t>GND - Grupo de Natureza da Despesa: É um agregador de elementos de despesas com as mesmas características quanto ao objeto do gasto</t>
  </si>
  <si>
    <t>1 - Pessoal e Encargos Sociais</t>
  </si>
  <si>
    <t>3 - Outras Despesas Correntes</t>
  </si>
  <si>
    <t>4 - Investimentos</t>
  </si>
  <si>
    <t>5 - Inversões Financeiras</t>
  </si>
  <si>
    <t>Fonte: Classificação da Receita por Fonte de Recursos: Entende-se por fonte de recursos a origem ou a procedência dos recursos que devem ser gastos com uma determinada finalidade.</t>
  </si>
  <si>
    <t>0101 - Recursos Ordinários</t>
  </si>
  <si>
    <t>0118 - Recursos Próprios do Fundo de Reaparelhamento do Judiciário - FRJ</t>
  </si>
  <si>
    <t>0318 - Recursos Próprios Fundo Reaparelhamento do Judiciário - FRJ - Superávit Financeiro</t>
  </si>
  <si>
    <t>0106 - Recursos Provenientes da Transferência - Convênios e Outros</t>
  </si>
  <si>
    <t>0301 - Recursos Ordinários - Superávit Financeiro</t>
  </si>
  <si>
    <t>0323 - Recursos Provenientes de Alienação de Bens - Superávit Financeiro</t>
  </si>
  <si>
    <t>0112 - Receita Patrimonial - Outros Poderes</t>
  </si>
  <si>
    <t>0312 - Receita Patrimonial - Outros Poderes - Superávit Financeiro</t>
  </si>
  <si>
    <t>Obs: Nas colunas relativas à execução, não incluir as despesas referentes aos restos a pagar do ano anterior.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</si>
</sst>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_(* #,##0.00_);_(* \(#,##0.00\);_(* &quot;-&quot;??_);_(@_)"/>
    <numFmt numFmtId="166" formatCode="0.0%"/>
  </numFmts>
  <fonts count="12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0" fontId="4" fillId="0" borderId="0"/>
  </cellStyleXfs>
  <cellXfs count="230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7" xfId="1" applyNumberFormat="1" applyFont="1" applyFill="1" applyBorder="1" applyAlignment="1">
      <alignment horizontal="center" vertical="center" wrapText="1"/>
    </xf>
    <xf numFmtId="166" fontId="3" fillId="2" borderId="17" xfId="1" applyNumberFormat="1" applyFont="1" applyFill="1" applyBorder="1" applyAlignment="1">
      <alignment horizontal="center" vertical="center" wrapText="1"/>
    </xf>
    <xf numFmtId="165" fontId="3" fillId="2" borderId="17" xfId="1" applyFont="1" applyFill="1" applyBorder="1" applyAlignment="1">
      <alignment horizontal="center" vertical="center" wrapText="1"/>
    </xf>
    <xf numFmtId="165" fontId="3" fillId="2" borderId="18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justify" wrapText="1"/>
    </xf>
    <xf numFmtId="49" fontId="6" fillId="2" borderId="19" xfId="2" applyNumberFormat="1" applyFont="1" applyFill="1" applyBorder="1" applyAlignment="1">
      <alignment horizontal="center" wrapText="1"/>
    </xf>
    <xf numFmtId="49" fontId="4" fillId="2" borderId="19" xfId="2" applyNumberFormat="1" applyFont="1" applyFill="1" applyBorder="1" applyAlignment="1">
      <alignment horizontal="center"/>
    </xf>
    <xf numFmtId="1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/>
    </xf>
    <xf numFmtId="49" fontId="6" fillId="2" borderId="19" xfId="2" applyNumberFormat="1" applyFont="1" applyFill="1" applyBorder="1" applyAlignment="1">
      <alignment horizontal="justify" wrapText="1"/>
    </xf>
    <xf numFmtId="0" fontId="6" fillId="2" borderId="19" xfId="2" applyFont="1" applyFill="1" applyBorder="1" applyAlignment="1">
      <alignment horizontal="center" wrapText="1"/>
    </xf>
    <xf numFmtId="164" fontId="6" fillId="2" borderId="19" xfId="1" applyNumberFormat="1" applyFont="1" applyFill="1" applyBorder="1" applyAlignment="1"/>
    <xf numFmtId="164" fontId="6" fillId="2" borderId="0" xfId="1" applyNumberFormat="1" applyFont="1" applyFill="1" applyBorder="1" applyAlignment="1"/>
    <xf numFmtId="166" fontId="6" fillId="2" borderId="19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49" fontId="3" fillId="3" borderId="20" xfId="2" applyNumberFormat="1" applyFont="1" applyFill="1" applyBorder="1" applyAlignment="1">
      <alignment horizontal="center" vertical="center"/>
    </xf>
    <xf numFmtId="49" fontId="7" fillId="3" borderId="21" xfId="2" applyNumberFormat="1" applyFont="1" applyFill="1" applyBorder="1" applyAlignment="1">
      <alignment horizontal="center" vertical="center"/>
    </xf>
    <xf numFmtId="1" fontId="3" fillId="3" borderId="21" xfId="2" applyNumberFormat="1" applyFont="1" applyFill="1" applyBorder="1" applyAlignment="1">
      <alignment horizontal="justify" vertical="center" wrapText="1"/>
    </xf>
    <xf numFmtId="164" fontId="3" fillId="3" borderId="21" xfId="1" applyNumberFormat="1" applyFont="1" applyFill="1" applyBorder="1" applyAlignment="1">
      <alignment vertical="center"/>
    </xf>
    <xf numFmtId="166" fontId="3" fillId="3" borderId="21" xfId="1" applyNumberFormat="1" applyFont="1" applyFill="1" applyBorder="1" applyAlignment="1">
      <alignment horizontal="center" vertical="center"/>
    </xf>
    <xf numFmtId="166" fontId="3" fillId="3" borderId="2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49" fontId="6" fillId="2" borderId="23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justify" wrapText="1"/>
    </xf>
    <xf numFmtId="49" fontId="6" fillId="2" borderId="12" xfId="0" applyNumberFormat="1" applyFont="1" applyFill="1" applyBorder="1" applyAlignment="1">
      <alignment horizontal="center" wrapText="1"/>
    </xf>
    <xf numFmtId="49" fontId="4" fillId="2" borderId="12" xfId="2" applyNumberFormat="1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justify" wrapText="1"/>
    </xf>
    <xf numFmtId="0" fontId="6" fillId="2" borderId="12" xfId="0" applyFont="1" applyFill="1" applyBorder="1" applyAlignment="1">
      <alignment horizontal="center" wrapText="1"/>
    </xf>
    <xf numFmtId="164" fontId="6" fillId="2" borderId="12" xfId="1" applyNumberFormat="1" applyFont="1" applyFill="1" applyBorder="1" applyAlignment="1"/>
    <xf numFmtId="164" fontId="6" fillId="2" borderId="11" xfId="1" applyNumberFormat="1" applyFont="1" applyFill="1" applyBorder="1" applyAlignment="1"/>
    <xf numFmtId="166" fontId="6" fillId="2" borderId="12" xfId="1" applyNumberFormat="1" applyFont="1" applyFill="1" applyBorder="1" applyAlignment="1">
      <alignment horizontal="center"/>
    </xf>
    <xf numFmtId="166" fontId="6" fillId="2" borderId="24" xfId="1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/>
    <xf numFmtId="49" fontId="6" fillId="2" borderId="7" xfId="2" applyNumberFormat="1" applyFont="1" applyFill="1" applyBorder="1" applyAlignment="1">
      <alignment horizontal="center"/>
    </xf>
    <xf numFmtId="0" fontId="6" fillId="2" borderId="25" xfId="2" applyFont="1" applyFill="1" applyBorder="1" applyAlignment="1">
      <alignment horizontal="justify" wrapText="1"/>
    </xf>
    <xf numFmtId="49" fontId="6" fillId="2" borderId="26" xfId="2" applyNumberFormat="1" applyFont="1" applyFill="1" applyBorder="1" applyAlignment="1">
      <alignment horizontal="center" wrapText="1"/>
    </xf>
    <xf numFmtId="49" fontId="4" fillId="2" borderId="26" xfId="2" applyNumberFormat="1" applyFont="1" applyFill="1" applyBorder="1" applyAlignment="1">
      <alignment horizontal="center"/>
    </xf>
    <xf numFmtId="1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/>
    </xf>
    <xf numFmtId="49" fontId="6" fillId="2" borderId="26" xfId="2" applyNumberFormat="1" applyFont="1" applyFill="1" applyBorder="1" applyAlignment="1">
      <alignment horizontal="justify" wrapText="1"/>
    </xf>
    <xf numFmtId="0" fontId="6" fillId="2" borderId="26" xfId="2" applyFont="1" applyFill="1" applyBorder="1" applyAlignment="1">
      <alignment horizontal="center" wrapText="1"/>
    </xf>
    <xf numFmtId="164" fontId="6" fillId="2" borderId="26" xfId="1" applyNumberFormat="1" applyFont="1" applyFill="1" applyBorder="1" applyAlignment="1"/>
    <xf numFmtId="164" fontId="6" fillId="2" borderId="25" xfId="1" applyNumberFormat="1" applyFont="1" applyFill="1" applyBorder="1" applyAlignment="1"/>
    <xf numFmtId="166" fontId="6" fillId="2" borderId="26" xfId="1" applyNumberFormat="1" applyFont="1" applyFill="1" applyBorder="1" applyAlignment="1">
      <alignment horizontal="center"/>
    </xf>
    <xf numFmtId="166" fontId="6" fillId="2" borderId="27" xfId="1" applyNumberFormat="1" applyFont="1" applyFill="1" applyBorder="1" applyAlignment="1">
      <alignment horizontal="center"/>
    </xf>
    <xf numFmtId="49" fontId="3" fillId="3" borderId="23" xfId="2" applyNumberFormat="1" applyFont="1" applyFill="1" applyBorder="1" applyAlignment="1">
      <alignment horizontal="center" vertical="center"/>
    </xf>
    <xf numFmtId="49" fontId="7" fillId="3" borderId="12" xfId="2" applyNumberFormat="1" applyFont="1" applyFill="1" applyBorder="1" applyAlignment="1">
      <alignment horizontal="center" vertical="center"/>
    </xf>
    <xf numFmtId="1" fontId="3" fillId="3" borderId="12" xfId="2" applyNumberFormat="1" applyFont="1" applyFill="1" applyBorder="1" applyAlignment="1">
      <alignment horizontal="justify" vertical="center" wrapText="1"/>
    </xf>
    <xf numFmtId="164" fontId="3" fillId="3" borderId="12" xfId="1" applyNumberFormat="1" applyFont="1" applyFill="1" applyBorder="1" applyAlignment="1">
      <alignment vertical="center"/>
    </xf>
    <xf numFmtId="166" fontId="3" fillId="3" borderId="12" xfId="1" applyNumberFormat="1" applyFont="1" applyFill="1" applyBorder="1" applyAlignment="1">
      <alignment horizontal="center" vertical="center"/>
    </xf>
    <xf numFmtId="166" fontId="3" fillId="3" borderId="24" xfId="1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justify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justify" wrapText="1"/>
    </xf>
    <xf numFmtId="164" fontId="3" fillId="4" borderId="32" xfId="1" applyNumberFormat="1" applyFont="1" applyFill="1" applyBorder="1" applyAlignment="1">
      <alignment vertical="center"/>
    </xf>
    <xf numFmtId="166" fontId="3" fillId="4" borderId="32" xfId="1" applyNumberFormat="1" applyFont="1" applyFill="1" applyBorder="1" applyAlignment="1">
      <alignment horizontal="center" vertical="center"/>
    </xf>
    <xf numFmtId="166" fontId="3" fillId="4" borderId="33" xfId="1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/>
    </xf>
    <xf numFmtId="49" fontId="4" fillId="2" borderId="11" xfId="2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justify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justify" wrapText="1"/>
    </xf>
    <xf numFmtId="49" fontId="6" fillId="0" borderId="12" xfId="0" applyNumberFormat="1" applyFont="1" applyFill="1" applyBorder="1" applyAlignment="1">
      <alignment horizontal="justify" wrapText="1"/>
    </xf>
    <xf numFmtId="49" fontId="3" fillId="3" borderId="34" xfId="2" applyNumberFormat="1" applyFont="1" applyFill="1" applyBorder="1" applyAlignment="1">
      <alignment horizontal="center" vertical="center"/>
    </xf>
    <xf numFmtId="164" fontId="3" fillId="3" borderId="11" xfId="1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wrapText="1"/>
    </xf>
    <xf numFmtId="165" fontId="6" fillId="2" borderId="0" xfId="0" applyNumberFormat="1" applyFont="1" applyFill="1" applyBorder="1" applyAlignment="1"/>
    <xf numFmtId="165" fontId="3" fillId="2" borderId="0" xfId="2" applyNumberFormat="1" applyFont="1" applyFill="1" applyBorder="1" applyAlignment="1">
      <alignment vertical="center"/>
    </xf>
    <xf numFmtId="49" fontId="4" fillId="2" borderId="35" xfId="0" applyNumberFormat="1" applyFont="1" applyFill="1" applyBorder="1" applyAlignment="1">
      <alignment horizontal="justify" wrapText="1"/>
    </xf>
    <xf numFmtId="49" fontId="4" fillId="2" borderId="12" xfId="0" applyNumberFormat="1" applyFont="1" applyFill="1" applyBorder="1" applyAlignment="1">
      <alignment horizontal="justify" wrapText="1"/>
    </xf>
    <xf numFmtId="49" fontId="6" fillId="2" borderId="9" xfId="0" applyNumberFormat="1" applyFont="1" applyFill="1" applyBorder="1" applyAlignment="1">
      <alignment horizontal="center" wrapText="1"/>
    </xf>
    <xf numFmtId="1" fontId="6" fillId="2" borderId="9" xfId="0" applyNumberFormat="1" applyFont="1" applyFill="1" applyBorder="1" applyAlignment="1">
      <alignment horizontal="justify" wrapText="1"/>
    </xf>
    <xf numFmtId="0" fontId="6" fillId="2" borderId="9" xfId="0" applyFont="1" applyFill="1" applyBorder="1" applyAlignment="1">
      <alignment horizontal="justify" wrapText="1"/>
    </xf>
    <xf numFmtId="49" fontId="3" fillId="3" borderId="23" xfId="0" applyNumberFormat="1" applyFont="1" applyFill="1" applyBorder="1" applyAlignment="1">
      <alignment horizontal="center" vertical="center"/>
    </xf>
    <xf numFmtId="166" fontId="3" fillId="3" borderId="9" xfId="1" applyNumberFormat="1" applyFont="1" applyFill="1" applyBorder="1" applyAlignment="1">
      <alignment horizontal="center" vertical="center"/>
    </xf>
    <xf numFmtId="164" fontId="6" fillId="2" borderId="36" xfId="1" applyNumberFormat="1" applyFont="1" applyFill="1" applyBorder="1" applyAlignment="1"/>
    <xf numFmtId="166" fontId="6" fillId="2" borderId="9" xfId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165" fontId="3" fillId="0" borderId="0" xfId="1" applyFont="1" applyBorder="1"/>
    <xf numFmtId="49" fontId="3" fillId="2" borderId="0" xfId="0" applyNumberFormat="1" applyFont="1" applyFill="1" applyBorder="1" applyAlignment="1">
      <alignment horizontal="left"/>
    </xf>
    <xf numFmtId="165" fontId="3" fillId="0" borderId="0" xfId="1" quotePrefix="1" applyFont="1" applyBorder="1"/>
    <xf numFmtId="165" fontId="3" fillId="0" borderId="0" xfId="1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1" applyNumberFormat="1" applyFont="1"/>
    <xf numFmtId="165" fontId="0" fillId="0" borderId="0" xfId="1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164" fontId="0" fillId="2" borderId="0" xfId="1" applyNumberFormat="1" applyFont="1" applyFill="1"/>
    <xf numFmtId="164" fontId="8" fillId="0" borderId="0" xfId="1" applyNumberFormat="1" applyFont="1"/>
    <xf numFmtId="166" fontId="0" fillId="0" borderId="0" xfId="1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165" fontId="3" fillId="0" borderId="0" xfId="1" quotePrefix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justify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justify" wrapText="1"/>
    </xf>
    <xf numFmtId="0" fontId="0" fillId="0" borderId="0" xfId="0" applyAlignment="1">
      <alignment horizontal="center" wrapText="1"/>
    </xf>
    <xf numFmtId="166" fontId="0" fillId="0" borderId="0" xfId="1" applyNumberFormat="1" applyFont="1" applyBorder="1" applyAlignment="1">
      <alignment horizontal="center"/>
    </xf>
    <xf numFmtId="0" fontId="0" fillId="0" borderId="0" xfId="0" applyBorder="1"/>
    <xf numFmtId="164" fontId="7" fillId="0" borderId="0" xfId="1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6" fontId="7" fillId="0" borderId="0" xfId="1" applyNumberFormat="1" applyFont="1" applyAlignment="1">
      <alignment horizontal="center"/>
    </xf>
    <xf numFmtId="164" fontId="6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0" xfId="0" applyNumberForma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164" fontId="7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7" fillId="0" borderId="0" xfId="0" applyFont="1"/>
    <xf numFmtId="0" fontId="4" fillId="0" borderId="0" xfId="0" applyFont="1" applyAlignment="1">
      <alignment horizontal="center" wrapText="1"/>
    </xf>
    <xf numFmtId="164" fontId="11" fillId="0" borderId="0" xfId="1" applyNumberFormat="1" applyFont="1" applyAlignment="1">
      <alignment horizontal="right"/>
    </xf>
    <xf numFmtId="166" fontId="11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164" fontId="0" fillId="2" borderId="0" xfId="1" applyNumberFormat="1" applyFont="1" applyFill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49" fontId="3" fillId="4" borderId="29" xfId="0" applyNumberFormat="1" applyFon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49" fontId="3" fillId="4" borderId="31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10" xfId="2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0" fontId="3" fillId="3" borderId="26" xfId="2" applyFont="1" applyFill="1" applyBorder="1" applyAlignment="1">
      <alignment horizontal="left" vertical="center" wrapText="1"/>
    </xf>
    <xf numFmtId="49" fontId="7" fillId="3" borderId="10" xfId="2" applyNumberFormat="1" applyFont="1" applyFill="1" applyBorder="1" applyAlignment="1">
      <alignment horizontal="left" vertical="center" wrapText="1"/>
    </xf>
    <xf numFmtId="49" fontId="7" fillId="3" borderId="26" xfId="2" applyNumberFormat="1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left" vertical="center" wrapText="1"/>
    </xf>
    <xf numFmtId="49" fontId="3" fillId="4" borderId="29" xfId="2" applyNumberFormat="1" applyFont="1" applyFill="1" applyBorder="1" applyAlignment="1">
      <alignment horizontal="center" vertical="center"/>
    </xf>
    <xf numFmtId="49" fontId="3" fillId="4" borderId="30" xfId="2" applyNumberFormat="1" applyFont="1" applyFill="1" applyBorder="1" applyAlignment="1">
      <alignment horizontal="center" vertical="center"/>
    </xf>
    <xf numFmtId="49" fontId="3" fillId="4" borderId="31" xfId="2" applyNumberFormat="1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165" fontId="3" fillId="0" borderId="5" xfId="1" applyFont="1" applyFill="1" applyBorder="1" applyAlignment="1">
      <alignment horizontal="center" vertical="center"/>
    </xf>
    <xf numFmtId="165" fontId="3" fillId="0" borderId="2" xfId="1" applyFont="1" applyFill="1" applyBorder="1" applyAlignment="1">
      <alignment horizontal="center" vertical="center"/>
    </xf>
    <xf numFmtId="165" fontId="3" fillId="0" borderId="6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442"/>
  <sheetViews>
    <sheetView showGridLines="0" tabSelected="1" topLeftCell="A9" zoomScaleNormal="100" workbookViewId="0">
      <pane xSplit="10" ySplit="3" topLeftCell="K12" activePane="bottomRight" state="frozen"/>
      <selection activeCell="A9" sqref="A9"/>
      <selection pane="topRight" activeCell="K9" sqref="K9"/>
      <selection pane="bottomLeft" activeCell="A12" sqref="A12"/>
      <selection pane="bottomRight" activeCell="F19" sqref="F19:J19"/>
    </sheetView>
  </sheetViews>
  <sheetFormatPr defaultRowHeight="12.75" x14ac:dyDescent="0.2"/>
  <cols>
    <col min="1" max="1" width="6.7109375" style="145" customWidth="1"/>
    <col min="2" max="2" width="16.7109375" style="146" customWidth="1"/>
    <col min="3" max="3" width="8.5703125" style="132" customWidth="1"/>
    <col min="4" max="4" width="15.7109375" style="132" customWidth="1"/>
    <col min="5" max="5" width="15.5703125" style="146" customWidth="1"/>
    <col min="6" max="6" width="23.7109375" style="146" customWidth="1"/>
    <col min="7" max="7" width="5.7109375" style="132" customWidth="1"/>
    <col min="8" max="8" width="6.140625" style="147" customWidth="1"/>
    <col min="9" max="9" width="17.7109375" style="148" customWidth="1"/>
    <col min="10" max="10" width="4.42578125" style="149" customWidth="1"/>
    <col min="11" max="11" width="15" style="129" customWidth="1"/>
    <col min="12" max="13" width="14.140625" style="129" customWidth="1"/>
    <col min="14" max="14" width="15.42578125" style="129" customWidth="1"/>
    <col min="15" max="15" width="13.7109375" style="129" customWidth="1"/>
    <col min="16" max="16" width="14.7109375" style="129" customWidth="1"/>
    <col min="17" max="17" width="13.5703125" style="129" customWidth="1"/>
    <col min="18" max="18" width="15.42578125" style="129" customWidth="1"/>
    <col min="19" max="19" width="15.42578125" style="159" customWidth="1"/>
    <col min="20" max="20" width="6.7109375" style="138" customWidth="1"/>
    <col min="21" max="21" width="15.42578125" style="159" customWidth="1"/>
    <col min="22" max="22" width="6.7109375" style="138" customWidth="1"/>
    <col min="23" max="23" width="15.42578125" style="129" customWidth="1"/>
    <col min="24" max="24" width="6.7109375" style="150" customWidth="1"/>
    <col min="25" max="25" width="14" style="151" bestFit="1" customWidth="1"/>
    <col min="26" max="26" width="13.5703125" bestFit="1" customWidth="1"/>
  </cols>
  <sheetData>
    <row r="1" spans="1:25" s="2" customFormat="1" ht="15" x14ac:dyDescent="0.2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1"/>
    </row>
    <row r="2" spans="1:25" s="2" customFormat="1" ht="15" x14ac:dyDescent="0.2">
      <c r="A2" s="221" t="s">
        <v>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1"/>
    </row>
    <row r="3" spans="1:25" s="2" customFormat="1" ht="15" x14ac:dyDescent="0.2">
      <c r="A3" s="221" t="s">
        <v>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1"/>
    </row>
    <row r="4" spans="1:25" s="2" customFormat="1" ht="1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/>
      <c r="S4" s="3"/>
      <c r="T4" s="3"/>
      <c r="U4" s="3"/>
      <c r="V4" s="3"/>
      <c r="W4" s="3"/>
      <c r="X4" s="3"/>
      <c r="Y4" s="1"/>
    </row>
    <row r="5" spans="1:25" s="2" customFormat="1" ht="1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/>
      <c r="S5" s="3"/>
      <c r="T5" s="3"/>
      <c r="U5" s="3"/>
      <c r="V5" s="3"/>
      <c r="W5" s="3"/>
      <c r="X5" s="3"/>
      <c r="Y5" s="1"/>
    </row>
    <row r="6" spans="1:25" s="2" customFormat="1" ht="15" x14ac:dyDescent="0.2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</row>
    <row r="7" spans="1:25" s="2" customFormat="1" ht="15" customHeight="1" x14ac:dyDescent="0.2">
      <c r="A7" s="222" t="s">
        <v>6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1"/>
    </row>
    <row r="8" spans="1:25" s="2" customFormat="1" ht="16.5" thickBot="1" x14ac:dyDescent="0.25">
      <c r="A8" s="4"/>
      <c r="B8" s="5"/>
      <c r="C8" s="6"/>
      <c r="D8" s="6"/>
      <c r="E8" s="7"/>
      <c r="F8" s="5"/>
      <c r="G8" s="6"/>
      <c r="H8" s="6"/>
      <c r="I8" s="5"/>
      <c r="J8" s="6"/>
      <c r="K8" s="8"/>
      <c r="L8" s="8"/>
      <c r="M8" s="8"/>
      <c r="N8" s="8"/>
      <c r="O8" s="8"/>
      <c r="P8" s="8"/>
      <c r="Q8" s="8"/>
      <c r="R8" s="8"/>
      <c r="S8" s="8"/>
      <c r="T8" s="6"/>
      <c r="U8" s="8"/>
      <c r="V8" s="6"/>
      <c r="W8" s="8"/>
      <c r="X8" s="6"/>
      <c r="Y8" s="1"/>
    </row>
    <row r="9" spans="1:25" s="10" customFormat="1" ht="27" customHeight="1" x14ac:dyDescent="0.2">
      <c r="A9" s="223" t="s">
        <v>7</v>
      </c>
      <c r="B9" s="224"/>
      <c r="C9" s="224"/>
      <c r="D9" s="224"/>
      <c r="E9" s="224"/>
      <c r="F9" s="224"/>
      <c r="G9" s="224"/>
      <c r="H9" s="224"/>
      <c r="I9" s="224"/>
      <c r="J9" s="225"/>
      <c r="K9" s="207" t="s">
        <v>8</v>
      </c>
      <c r="L9" s="226" t="s">
        <v>9</v>
      </c>
      <c r="M9" s="227"/>
      <c r="N9" s="207" t="s">
        <v>10</v>
      </c>
      <c r="O9" s="207" t="s">
        <v>11</v>
      </c>
      <c r="P9" s="228" t="s">
        <v>12</v>
      </c>
      <c r="Q9" s="229"/>
      <c r="R9" s="207" t="s">
        <v>13</v>
      </c>
      <c r="S9" s="209" t="s">
        <v>14</v>
      </c>
      <c r="T9" s="210"/>
      <c r="U9" s="210"/>
      <c r="V9" s="210"/>
      <c r="W9" s="210"/>
      <c r="X9" s="211"/>
      <c r="Y9" s="9"/>
    </row>
    <row r="10" spans="1:25" s="17" customFormat="1" ht="27" customHeight="1" x14ac:dyDescent="0.2">
      <c r="A10" s="212" t="s">
        <v>15</v>
      </c>
      <c r="B10" s="213"/>
      <c r="C10" s="214" t="s">
        <v>16</v>
      </c>
      <c r="D10" s="216" t="s">
        <v>17</v>
      </c>
      <c r="E10" s="218" t="s">
        <v>18</v>
      </c>
      <c r="F10" s="213"/>
      <c r="G10" s="214" t="s">
        <v>19</v>
      </c>
      <c r="H10" s="219" t="s">
        <v>20</v>
      </c>
      <c r="I10" s="220"/>
      <c r="J10" s="214" t="s">
        <v>21</v>
      </c>
      <c r="K10" s="208"/>
      <c r="L10" s="11" t="s">
        <v>22</v>
      </c>
      <c r="M10" s="11" t="s">
        <v>23</v>
      </c>
      <c r="N10" s="208"/>
      <c r="O10" s="208"/>
      <c r="P10" s="11" t="s">
        <v>24</v>
      </c>
      <c r="Q10" s="12" t="s">
        <v>25</v>
      </c>
      <c r="R10" s="208"/>
      <c r="S10" s="13" t="s">
        <v>26</v>
      </c>
      <c r="T10" s="14" t="s">
        <v>27</v>
      </c>
      <c r="U10" s="13" t="s">
        <v>28</v>
      </c>
      <c r="V10" s="14" t="s">
        <v>27</v>
      </c>
      <c r="W10" s="13" t="s">
        <v>29</v>
      </c>
      <c r="X10" s="15" t="s">
        <v>27</v>
      </c>
      <c r="Y10" s="16"/>
    </row>
    <row r="11" spans="1:25" s="29" customFormat="1" ht="27" customHeight="1" thickBot="1" x14ac:dyDescent="0.25">
      <c r="A11" s="18" t="s">
        <v>30</v>
      </c>
      <c r="B11" s="19" t="s">
        <v>18</v>
      </c>
      <c r="C11" s="215"/>
      <c r="D11" s="217"/>
      <c r="E11" s="20" t="s">
        <v>31</v>
      </c>
      <c r="F11" s="20" t="s">
        <v>32</v>
      </c>
      <c r="G11" s="215"/>
      <c r="H11" s="21" t="s">
        <v>30</v>
      </c>
      <c r="I11" s="19" t="s">
        <v>18</v>
      </c>
      <c r="J11" s="215"/>
      <c r="K11" s="22" t="s">
        <v>33</v>
      </c>
      <c r="L11" s="23" t="s">
        <v>34</v>
      </c>
      <c r="M11" s="23" t="s">
        <v>35</v>
      </c>
      <c r="N11" s="23" t="s">
        <v>36</v>
      </c>
      <c r="O11" s="23" t="s">
        <v>37</v>
      </c>
      <c r="P11" s="24" t="s">
        <v>38</v>
      </c>
      <c r="Q11" s="24" t="s">
        <v>39</v>
      </c>
      <c r="R11" s="24" t="s">
        <v>40</v>
      </c>
      <c r="S11" s="24" t="s">
        <v>41</v>
      </c>
      <c r="T11" s="25" t="s">
        <v>42</v>
      </c>
      <c r="U11" s="24" t="s">
        <v>43</v>
      </c>
      <c r="V11" s="26" t="s">
        <v>44</v>
      </c>
      <c r="W11" s="24" t="s">
        <v>45</v>
      </c>
      <c r="X11" s="27" t="s">
        <v>46</v>
      </c>
      <c r="Y11" s="28"/>
    </row>
    <row r="12" spans="1:25" s="42" customFormat="1" ht="12" customHeight="1" thickBot="1" x14ac:dyDescent="0.25">
      <c r="A12" s="30"/>
      <c r="B12" s="31"/>
      <c r="C12" s="32"/>
      <c r="D12" s="33"/>
      <c r="E12" s="34"/>
      <c r="F12" s="35"/>
      <c r="G12" s="36"/>
      <c r="H12" s="32"/>
      <c r="I12" s="37"/>
      <c r="J12" s="38"/>
      <c r="K12" s="39"/>
      <c r="L12" s="40"/>
      <c r="M12" s="40"/>
      <c r="N12" s="39"/>
      <c r="O12" s="40"/>
      <c r="P12" s="40"/>
      <c r="Q12" s="40"/>
      <c r="R12" s="39"/>
      <c r="S12" s="40"/>
      <c r="T12" s="41"/>
      <c r="U12" s="40"/>
      <c r="V12" s="41"/>
      <c r="W12" s="40"/>
      <c r="X12" s="41"/>
    </row>
    <row r="13" spans="1:25" s="50" customFormat="1" ht="39" customHeight="1" x14ac:dyDescent="0.2">
      <c r="A13" s="43" t="s">
        <v>47</v>
      </c>
      <c r="B13" s="204" t="s">
        <v>48</v>
      </c>
      <c r="C13" s="205"/>
      <c r="D13" s="44" t="s">
        <v>49</v>
      </c>
      <c r="E13" s="45" t="s">
        <v>50</v>
      </c>
      <c r="F13" s="204" t="s">
        <v>51</v>
      </c>
      <c r="G13" s="206"/>
      <c r="H13" s="206"/>
      <c r="I13" s="206"/>
      <c r="J13" s="205"/>
      <c r="K13" s="46">
        <f>K14</f>
        <v>15574443</v>
      </c>
      <c r="L13" s="46">
        <f t="shared" ref="L13:U13" si="0">L14</f>
        <v>0</v>
      </c>
      <c r="M13" s="46">
        <f t="shared" si="0"/>
        <v>6595387</v>
      </c>
      <c r="N13" s="46">
        <f t="shared" si="0"/>
        <v>8979056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 t="shared" si="0"/>
        <v>8979056</v>
      </c>
      <c r="S13" s="46">
        <f t="shared" si="0"/>
        <v>7431742.6400000006</v>
      </c>
      <c r="T13" s="47">
        <f>S13/R13</f>
        <v>0.82767527455001955</v>
      </c>
      <c r="U13" s="46">
        <f t="shared" si="0"/>
        <v>7431742.6400000006</v>
      </c>
      <c r="V13" s="47">
        <f>U13/R13</f>
        <v>0.82767527455001955</v>
      </c>
      <c r="W13" s="46">
        <f>W14</f>
        <v>7431742.6400000006</v>
      </c>
      <c r="X13" s="48">
        <f>W13/R13</f>
        <v>0.82767527455001955</v>
      </c>
      <c r="Y13" s="49"/>
    </row>
    <row r="14" spans="1:25" s="65" customFormat="1" ht="39" customHeight="1" x14ac:dyDescent="0.2">
      <c r="A14" s="51" t="s">
        <v>47</v>
      </c>
      <c r="B14" s="52" t="s">
        <v>48</v>
      </c>
      <c r="C14" s="53" t="s">
        <v>52</v>
      </c>
      <c r="D14" s="54" t="s">
        <v>49</v>
      </c>
      <c r="E14" s="55" t="s">
        <v>50</v>
      </c>
      <c r="F14" s="56" t="s">
        <v>51</v>
      </c>
      <c r="G14" s="57">
        <v>1</v>
      </c>
      <c r="H14" s="53" t="s">
        <v>53</v>
      </c>
      <c r="I14" s="58" t="s">
        <v>54</v>
      </c>
      <c r="J14" s="59">
        <v>1</v>
      </c>
      <c r="K14" s="60">
        <f>13995056+1579387</f>
        <v>15574443</v>
      </c>
      <c r="L14" s="61">
        <v>0</v>
      </c>
      <c r="M14" s="61">
        <v>6595387</v>
      </c>
      <c r="N14" s="60">
        <f t="shared" ref="N14:N70" si="1">K14+L14-M14</f>
        <v>8979056</v>
      </c>
      <c r="O14" s="61">
        <v>0</v>
      </c>
      <c r="P14" s="61">
        <v>0</v>
      </c>
      <c r="Q14" s="61">
        <v>0</v>
      </c>
      <c r="R14" s="60">
        <f t="shared" ref="R14:R105" si="2">N14-O14+P14+Q14</f>
        <v>8979056</v>
      </c>
      <c r="S14" s="61">
        <f>392264.48+626069.11+628131.05+678299.03+695858.39+723562.63+711466.05+729156.07+726283.72+813869.11+706783</f>
        <v>7431742.6400000006</v>
      </c>
      <c r="T14" s="62">
        <f>S14/R14</f>
        <v>0.82767527455001955</v>
      </c>
      <c r="U14" s="61">
        <f>392264.48+626069.11+628131.05+678299.03+695858.39+723562.63+711466.05+729156.07+726283.72+813869.11+706783</f>
        <v>7431742.6400000006</v>
      </c>
      <c r="V14" s="62">
        <f t="shared" ref="V14:V99" si="3">U14/R14</f>
        <v>0.82767527455001955</v>
      </c>
      <c r="W14" s="61">
        <f>392264.48+626069.11+628131.05+678299.03+695858.39+723562.63+711466.05+729156.07+726283.72+813869.11+706783</f>
        <v>7431742.6400000006</v>
      </c>
      <c r="X14" s="63">
        <f t="shared" ref="X14:X99" si="4">W14/R14</f>
        <v>0.82767527455001955</v>
      </c>
      <c r="Y14" s="64"/>
    </row>
    <row r="15" spans="1:25" s="42" customFormat="1" ht="9" customHeight="1" x14ac:dyDescent="0.2">
      <c r="A15" s="66"/>
      <c r="B15" s="67"/>
      <c r="C15" s="68"/>
      <c r="D15" s="69"/>
      <c r="E15" s="70"/>
      <c r="F15" s="71"/>
      <c r="G15" s="72"/>
      <c r="H15" s="68"/>
      <c r="I15" s="73"/>
      <c r="J15" s="74"/>
      <c r="K15" s="75"/>
      <c r="L15" s="76"/>
      <c r="M15" s="76"/>
      <c r="N15" s="75"/>
      <c r="O15" s="76"/>
      <c r="P15" s="76"/>
      <c r="Q15" s="76"/>
      <c r="R15" s="75"/>
      <c r="S15" s="76"/>
      <c r="T15" s="77"/>
      <c r="U15" s="76"/>
      <c r="V15" s="77"/>
      <c r="W15" s="76"/>
      <c r="X15" s="78"/>
    </row>
    <row r="16" spans="1:25" s="50" customFormat="1" ht="39" customHeight="1" x14ac:dyDescent="0.2">
      <c r="A16" s="79" t="s">
        <v>47</v>
      </c>
      <c r="B16" s="195" t="s">
        <v>48</v>
      </c>
      <c r="C16" s="196"/>
      <c r="D16" s="80" t="s">
        <v>55</v>
      </c>
      <c r="E16" s="81" t="s">
        <v>50</v>
      </c>
      <c r="F16" s="195" t="s">
        <v>56</v>
      </c>
      <c r="G16" s="197"/>
      <c r="H16" s="197"/>
      <c r="I16" s="197"/>
      <c r="J16" s="196"/>
      <c r="K16" s="82">
        <f>K17</f>
        <v>876810</v>
      </c>
      <c r="L16" s="82">
        <f t="shared" ref="L16:S16" si="5">L17</f>
        <v>725000</v>
      </c>
      <c r="M16" s="82">
        <f t="shared" si="5"/>
        <v>0</v>
      </c>
      <c r="N16" s="82">
        <f t="shared" si="5"/>
        <v>1601810</v>
      </c>
      <c r="O16" s="82">
        <f t="shared" si="5"/>
        <v>0</v>
      </c>
      <c r="P16" s="82">
        <f t="shared" si="5"/>
        <v>0</v>
      </c>
      <c r="Q16" s="82">
        <f t="shared" si="5"/>
        <v>0</v>
      </c>
      <c r="R16" s="82">
        <f t="shared" si="5"/>
        <v>1601810</v>
      </c>
      <c r="S16" s="82">
        <f t="shared" si="5"/>
        <v>1339145.1000000001</v>
      </c>
      <c r="T16" s="83">
        <f>S16/R16</f>
        <v>0.83601993994293966</v>
      </c>
      <c r="U16" s="82">
        <f>U17</f>
        <v>1339145.1000000001</v>
      </c>
      <c r="V16" s="83">
        <f>U16/R16</f>
        <v>0.83601993994293966</v>
      </c>
      <c r="W16" s="82">
        <f>W17</f>
        <v>1339145.1000000001</v>
      </c>
      <c r="X16" s="84">
        <f>W16/R16</f>
        <v>0.83601993994293966</v>
      </c>
      <c r="Y16" s="49"/>
    </row>
    <row r="17" spans="1:25" s="65" customFormat="1" ht="39" customHeight="1" x14ac:dyDescent="0.2">
      <c r="A17" s="51" t="s">
        <v>47</v>
      </c>
      <c r="B17" s="52" t="s">
        <v>48</v>
      </c>
      <c r="C17" s="53" t="s">
        <v>52</v>
      </c>
      <c r="D17" s="54" t="s">
        <v>55</v>
      </c>
      <c r="E17" s="55" t="s">
        <v>50</v>
      </c>
      <c r="F17" s="56" t="s">
        <v>56</v>
      </c>
      <c r="G17" s="57">
        <v>1</v>
      </c>
      <c r="H17" s="53" t="s">
        <v>53</v>
      </c>
      <c r="I17" s="58" t="s">
        <v>54</v>
      </c>
      <c r="J17" s="59">
        <v>1</v>
      </c>
      <c r="K17" s="60">
        <f>758730+118080</f>
        <v>876810</v>
      </c>
      <c r="L17" s="61">
        <f>725000</f>
        <v>725000</v>
      </c>
      <c r="M17" s="61">
        <v>0</v>
      </c>
      <c r="N17" s="60">
        <f t="shared" si="1"/>
        <v>1601810</v>
      </c>
      <c r="O17" s="61">
        <v>0</v>
      </c>
      <c r="P17" s="61">
        <v>0</v>
      </c>
      <c r="Q17" s="61">
        <v>0</v>
      </c>
      <c r="R17" s="60">
        <f t="shared" si="2"/>
        <v>1601810</v>
      </c>
      <c r="S17" s="61">
        <f>64193.17+110607.52+115254.78+138393.51+158646.54+161974.21+126401.86+261279.7+202393.81</f>
        <v>1339145.1000000001</v>
      </c>
      <c r="T17" s="62">
        <f>S17/R17</f>
        <v>0.83601993994293966</v>
      </c>
      <c r="U17" s="61">
        <f>64193.17+110607.52+115254.78+138393.51+158646.54+161974.21+126401.86+261279.7+202393.81</f>
        <v>1339145.1000000001</v>
      </c>
      <c r="V17" s="62">
        <f t="shared" si="3"/>
        <v>0.83601993994293966</v>
      </c>
      <c r="W17" s="61">
        <f>64193.17+110607.52+115254.78+138393.51+158646.54+161974.21+126401.86+261279.7+202393.81</f>
        <v>1339145.1000000001</v>
      </c>
      <c r="X17" s="63">
        <f t="shared" si="4"/>
        <v>0.83601993994293966</v>
      </c>
      <c r="Y17" s="64"/>
    </row>
    <row r="18" spans="1:25" s="42" customFormat="1" ht="9" customHeight="1" x14ac:dyDescent="0.2">
      <c r="A18" s="66"/>
      <c r="B18" s="67"/>
      <c r="C18" s="68"/>
      <c r="D18" s="69"/>
      <c r="E18" s="70"/>
      <c r="F18" s="71"/>
      <c r="G18" s="72"/>
      <c r="H18" s="68"/>
      <c r="I18" s="73"/>
      <c r="J18" s="74"/>
      <c r="K18" s="75"/>
      <c r="L18" s="76"/>
      <c r="M18" s="76"/>
      <c r="N18" s="75"/>
      <c r="O18" s="76"/>
      <c r="P18" s="76"/>
      <c r="Q18" s="76"/>
      <c r="R18" s="75"/>
      <c r="S18" s="76"/>
      <c r="T18" s="77"/>
      <c r="U18" s="76"/>
      <c r="V18" s="77"/>
      <c r="W18" s="76"/>
      <c r="X18" s="78"/>
    </row>
    <row r="19" spans="1:25" s="50" customFormat="1" ht="39" customHeight="1" x14ac:dyDescent="0.2">
      <c r="A19" s="79" t="s">
        <v>47</v>
      </c>
      <c r="B19" s="195" t="s">
        <v>48</v>
      </c>
      <c r="C19" s="196"/>
      <c r="D19" s="80" t="s">
        <v>57</v>
      </c>
      <c r="E19" s="81" t="s">
        <v>58</v>
      </c>
      <c r="F19" s="195" t="s">
        <v>59</v>
      </c>
      <c r="G19" s="197"/>
      <c r="H19" s="197"/>
      <c r="I19" s="197"/>
      <c r="J19" s="196"/>
      <c r="K19" s="82">
        <f>SUM(K20:K25)</f>
        <v>467225760</v>
      </c>
      <c r="L19" s="82">
        <f t="shared" ref="L19:U19" si="6">SUM(L20:L25)</f>
        <v>22619582</v>
      </c>
      <c r="M19" s="82">
        <f t="shared" si="6"/>
        <v>4763586.84</v>
      </c>
      <c r="N19" s="82">
        <f t="shared" si="6"/>
        <v>485081755.16000003</v>
      </c>
      <c r="O19" s="82">
        <f t="shared" si="6"/>
        <v>0</v>
      </c>
      <c r="P19" s="82">
        <f t="shared" si="6"/>
        <v>0</v>
      </c>
      <c r="Q19" s="82">
        <f t="shared" si="6"/>
        <v>-1253780.31</v>
      </c>
      <c r="R19" s="82">
        <f t="shared" si="6"/>
        <v>483827974.85000002</v>
      </c>
      <c r="S19" s="82">
        <f t="shared" si="6"/>
        <v>412937082.27000004</v>
      </c>
      <c r="T19" s="83">
        <f t="shared" ref="T19:T25" si="7">S19/R19</f>
        <v>0.85347913666633657</v>
      </c>
      <c r="U19" s="82">
        <f t="shared" si="6"/>
        <v>412847107.19</v>
      </c>
      <c r="V19" s="83">
        <f>U19/R19</f>
        <v>0.85329317164431007</v>
      </c>
      <c r="W19" s="82">
        <f>SUM(W20:W25)</f>
        <v>408082070.48999995</v>
      </c>
      <c r="X19" s="84">
        <f>W19/R19</f>
        <v>0.84344455406183694</v>
      </c>
      <c r="Y19" s="49"/>
    </row>
    <row r="20" spans="1:25" s="65" customFormat="1" ht="39" customHeight="1" x14ac:dyDescent="0.2">
      <c r="A20" s="51" t="s">
        <v>47</v>
      </c>
      <c r="B20" s="52" t="s">
        <v>48</v>
      </c>
      <c r="C20" s="53" t="s">
        <v>60</v>
      </c>
      <c r="D20" s="54" t="s">
        <v>57</v>
      </c>
      <c r="E20" s="55" t="s">
        <v>58</v>
      </c>
      <c r="F20" s="56" t="s">
        <v>59</v>
      </c>
      <c r="G20" s="57">
        <v>1</v>
      </c>
      <c r="H20" s="53" t="s">
        <v>53</v>
      </c>
      <c r="I20" s="58" t="s">
        <v>54</v>
      </c>
      <c r="J20" s="59">
        <v>1</v>
      </c>
      <c r="K20" s="60">
        <f>382861760+18204800+12130390+52414940</f>
        <v>465611890</v>
      </c>
      <c r="L20" s="61">
        <f>14763317</f>
        <v>14763317</v>
      </c>
      <c r="M20" s="61">
        <f>1227000</f>
        <v>1227000</v>
      </c>
      <c r="N20" s="60">
        <f t="shared" si="1"/>
        <v>479148207</v>
      </c>
      <c r="O20" s="61">
        <v>0</v>
      </c>
      <c r="P20" s="61">
        <v>0</v>
      </c>
      <c r="Q20" s="61">
        <f>-202092.53-127945.28-127185.8-126297.98-125377.19-125377.19-147515.92-135364.88-136623.54</f>
        <v>-1253780.31</v>
      </c>
      <c r="R20" s="60">
        <f t="shared" si="2"/>
        <v>477894426.69</v>
      </c>
      <c r="S20" s="61">
        <f>35206966.94+36838379.42+36778663.28+36705752.74+36803524.82+38458939.92+37004227.46+37312047.93+37249380.6+41500109.84+37738793.32</f>
        <v>411596786.27000004</v>
      </c>
      <c r="T20" s="62">
        <f t="shared" si="7"/>
        <v>0.86127136723650088</v>
      </c>
      <c r="U20" s="61">
        <f>35206966.94+36838379.42+36778663.28+36636311.66+36796492.6+38465972.14+37004227.46+37312047.93+37228184.22+41507175.3+37752924.24</f>
        <v>411527345.19</v>
      </c>
      <c r="V20" s="62">
        <f t="shared" si="3"/>
        <v>0.86112606091752786</v>
      </c>
      <c r="W20" s="61">
        <f>30800770.17+36792933.41+36790516.79+36621304.6+36773161.53+38315021.26+37146315.1+37303189.49+37215020.84+41018605.81+37985469.49</f>
        <v>406762308.48999995</v>
      </c>
      <c r="X20" s="63">
        <f t="shared" si="4"/>
        <v>0.85115516267332003</v>
      </c>
      <c r="Y20" s="64"/>
    </row>
    <row r="21" spans="1:25" s="65" customFormat="1" ht="39" customHeight="1" x14ac:dyDescent="0.2">
      <c r="A21" s="51" t="s">
        <v>47</v>
      </c>
      <c r="B21" s="52" t="s">
        <v>48</v>
      </c>
      <c r="C21" s="53" t="s">
        <v>60</v>
      </c>
      <c r="D21" s="54" t="s">
        <v>57</v>
      </c>
      <c r="E21" s="55" t="s">
        <v>58</v>
      </c>
      <c r="F21" s="56" t="s">
        <v>59</v>
      </c>
      <c r="G21" s="57">
        <v>1</v>
      </c>
      <c r="H21" s="53" t="s">
        <v>53</v>
      </c>
      <c r="I21" s="58" t="s">
        <v>54</v>
      </c>
      <c r="J21" s="59">
        <v>3</v>
      </c>
      <c r="K21" s="60">
        <v>513870</v>
      </c>
      <c r="L21" s="61">
        <f>200000</f>
        <v>200000</v>
      </c>
      <c r="M21" s="61">
        <v>0</v>
      </c>
      <c r="N21" s="60">
        <f t="shared" si="1"/>
        <v>713870</v>
      </c>
      <c r="O21" s="61">
        <v>0</v>
      </c>
      <c r="P21" s="61">
        <v>0</v>
      </c>
      <c r="Q21" s="61">
        <v>0</v>
      </c>
      <c r="R21" s="60">
        <f t="shared" si="2"/>
        <v>713870</v>
      </c>
      <c r="S21" s="61">
        <f>27798+100094.07+23132.44+102246.64+34564.36+49896.71+45925.52+44195.1+76136.58+62271.41+45847.54</f>
        <v>612108.37000000011</v>
      </c>
      <c r="T21" s="62">
        <f t="shared" si="7"/>
        <v>0.85745075433902551</v>
      </c>
      <c r="U21" s="61">
        <f>26916.8+96829.55+19547.44+105831.64+34564.36+49896.71+37148.34+52972.28+76136.58+66417.13+45847.54</f>
        <v>612108.37000000011</v>
      </c>
      <c r="V21" s="62">
        <f t="shared" si="3"/>
        <v>0.85745075433902551</v>
      </c>
      <c r="W21" s="61">
        <f>26916.8+75214.73+30596.82+109054.58+34564.36+57239.21+37148.34+52972.28+76136.58+66417.13+45847.54</f>
        <v>612108.37000000011</v>
      </c>
      <c r="X21" s="63">
        <f t="shared" si="4"/>
        <v>0.85745075433902551</v>
      </c>
      <c r="Y21" s="64"/>
    </row>
    <row r="22" spans="1:25" s="65" customFormat="1" ht="39" customHeight="1" x14ac:dyDescent="0.2">
      <c r="A22" s="51" t="s">
        <v>47</v>
      </c>
      <c r="B22" s="52" t="s">
        <v>48</v>
      </c>
      <c r="C22" s="53" t="s">
        <v>60</v>
      </c>
      <c r="D22" s="54" t="s">
        <v>57</v>
      </c>
      <c r="E22" s="55" t="s">
        <v>58</v>
      </c>
      <c r="F22" s="56" t="s">
        <v>59</v>
      </c>
      <c r="G22" s="57">
        <v>1</v>
      </c>
      <c r="H22" s="53" t="s">
        <v>61</v>
      </c>
      <c r="I22" s="58" t="s">
        <v>62</v>
      </c>
      <c r="J22" s="59">
        <v>1</v>
      </c>
      <c r="K22" s="60">
        <f>600000+350000</f>
        <v>950000</v>
      </c>
      <c r="L22" s="60">
        <f>87000</f>
        <v>87000</v>
      </c>
      <c r="M22" s="61">
        <v>0</v>
      </c>
      <c r="N22" s="60">
        <f t="shared" si="1"/>
        <v>1037000</v>
      </c>
      <c r="O22" s="61">
        <v>0</v>
      </c>
      <c r="P22" s="61">
        <v>0</v>
      </c>
      <c r="Q22" s="61">
        <v>0</v>
      </c>
      <c r="R22" s="60">
        <f t="shared" si="2"/>
        <v>1037000</v>
      </c>
      <c r="S22" s="61">
        <f>17900.16+23487.81+13293.32+97840.35+29803.92+38210.83+227090.01+47213.98+69450.64</f>
        <v>564291.02</v>
      </c>
      <c r="T22" s="62">
        <f t="shared" si="7"/>
        <v>0.54415720347155261</v>
      </c>
      <c r="U22" s="61">
        <f>17900.16+23487.81+13293.32+97840.35+29803.92+38210.83+227090.01+47213.98+69450.64</f>
        <v>564291.02</v>
      </c>
      <c r="V22" s="62">
        <f t="shared" si="3"/>
        <v>0.54415720347155261</v>
      </c>
      <c r="W22" s="61">
        <f>17900.16+13220.83+23560.3+97840.35+29803.92+38210.83+227090.01+47213.98+69450.64</f>
        <v>564291.02</v>
      </c>
      <c r="X22" s="63">
        <f t="shared" si="4"/>
        <v>0.54415720347155261</v>
      </c>
      <c r="Y22" s="64"/>
    </row>
    <row r="23" spans="1:25" s="65" customFormat="1" ht="39" customHeight="1" x14ac:dyDescent="0.2">
      <c r="A23" s="51" t="s">
        <v>47</v>
      </c>
      <c r="B23" s="52" t="s">
        <v>48</v>
      </c>
      <c r="C23" s="53" t="s">
        <v>60</v>
      </c>
      <c r="D23" s="54" t="s">
        <v>57</v>
      </c>
      <c r="E23" s="55" t="s">
        <v>58</v>
      </c>
      <c r="F23" s="56" t="s">
        <v>59</v>
      </c>
      <c r="G23" s="57">
        <v>1</v>
      </c>
      <c r="H23" s="53" t="s">
        <v>61</v>
      </c>
      <c r="I23" s="58" t="s">
        <v>62</v>
      </c>
      <c r="J23" s="59">
        <v>3</v>
      </c>
      <c r="K23" s="60">
        <v>150000</v>
      </c>
      <c r="L23" s="61">
        <v>0</v>
      </c>
      <c r="M23" s="61">
        <v>0</v>
      </c>
      <c r="N23" s="60">
        <f t="shared" si="1"/>
        <v>150000</v>
      </c>
      <c r="O23" s="61">
        <v>0</v>
      </c>
      <c r="P23" s="61">
        <v>0</v>
      </c>
      <c r="Q23" s="61">
        <v>0</v>
      </c>
      <c r="R23" s="60">
        <f t="shared" si="2"/>
        <v>150000</v>
      </c>
      <c r="S23" s="61">
        <f>13000+10000+12000+12000+9000+21913.3+27950</f>
        <v>105863.3</v>
      </c>
      <c r="T23" s="62">
        <f t="shared" si="7"/>
        <v>0.7057553333333334</v>
      </c>
      <c r="U23" s="61">
        <f>11021.62+9933.92+7176.96+7654.4+8584.8+9541.6+10472+20944</f>
        <v>85329.299999999988</v>
      </c>
      <c r="V23" s="62">
        <f t="shared" si="3"/>
        <v>0.56886199999999987</v>
      </c>
      <c r="W23" s="61">
        <f>11021.62+9933.92+7176.96+7654.4+8584.8+9541.6+10472+20944</f>
        <v>85329.299999999988</v>
      </c>
      <c r="X23" s="63">
        <f t="shared" si="4"/>
        <v>0.56886199999999987</v>
      </c>
      <c r="Y23" s="64"/>
    </row>
    <row r="24" spans="1:25" s="65" customFormat="1" ht="39" customHeight="1" x14ac:dyDescent="0.2">
      <c r="A24" s="51" t="s">
        <v>47</v>
      </c>
      <c r="B24" s="52" t="s">
        <v>48</v>
      </c>
      <c r="C24" s="53" t="s">
        <v>60</v>
      </c>
      <c r="D24" s="54" t="s">
        <v>57</v>
      </c>
      <c r="E24" s="55" t="s">
        <v>58</v>
      </c>
      <c r="F24" s="56" t="s">
        <v>59</v>
      </c>
      <c r="G24" s="57">
        <v>1</v>
      </c>
      <c r="H24" s="85" t="s">
        <v>63</v>
      </c>
      <c r="I24" s="86" t="s">
        <v>64</v>
      </c>
      <c r="J24" s="59">
        <v>1</v>
      </c>
      <c r="K24" s="60">
        <v>0</v>
      </c>
      <c r="L24" s="61">
        <f>196652+3865000</f>
        <v>4061652</v>
      </c>
      <c r="M24" s="61">
        <f>3536586.84</f>
        <v>3536586.84</v>
      </c>
      <c r="N24" s="60">
        <f t="shared" si="1"/>
        <v>525065.16000000015</v>
      </c>
      <c r="O24" s="61">
        <f>196652-51000-145652</f>
        <v>0</v>
      </c>
      <c r="P24" s="61">
        <v>0</v>
      </c>
      <c r="Q24" s="61">
        <v>0</v>
      </c>
      <c r="R24" s="60">
        <f t="shared" si="2"/>
        <v>525065.16000000015</v>
      </c>
      <c r="S24" s="61">
        <f>50831.9+7201.41</f>
        <v>58033.31</v>
      </c>
      <c r="T24" s="62">
        <f t="shared" si="7"/>
        <v>0.11052592024959337</v>
      </c>
      <c r="U24" s="61">
        <f>50831.9+7201.41</f>
        <v>58033.31</v>
      </c>
      <c r="V24" s="62">
        <f t="shared" si="3"/>
        <v>0.11052592024959337</v>
      </c>
      <c r="W24" s="61">
        <f>25415.95+25415.95+7201.41</f>
        <v>58033.31</v>
      </c>
      <c r="X24" s="63">
        <f t="shared" si="4"/>
        <v>0.11052592024959337</v>
      </c>
      <c r="Y24" s="64"/>
    </row>
    <row r="25" spans="1:25" s="65" customFormat="1" ht="39" customHeight="1" x14ac:dyDescent="0.2">
      <c r="A25" s="51" t="s">
        <v>47</v>
      </c>
      <c r="B25" s="52" t="s">
        <v>48</v>
      </c>
      <c r="C25" s="53" t="s">
        <v>60</v>
      </c>
      <c r="D25" s="54" t="s">
        <v>57</v>
      </c>
      <c r="E25" s="55" t="s">
        <v>58</v>
      </c>
      <c r="F25" s="56" t="s">
        <v>59</v>
      </c>
      <c r="G25" s="57">
        <v>1</v>
      </c>
      <c r="H25" s="87" t="s">
        <v>65</v>
      </c>
      <c r="I25" s="88" t="s">
        <v>66</v>
      </c>
      <c r="J25" s="59">
        <v>1</v>
      </c>
      <c r="K25" s="60">
        <v>0</v>
      </c>
      <c r="L25" s="61">
        <f>3507613</f>
        <v>3507613</v>
      </c>
      <c r="M25" s="61">
        <v>0</v>
      </c>
      <c r="N25" s="60">
        <f t="shared" si="1"/>
        <v>3507613</v>
      </c>
      <c r="O25" s="61">
        <v>0</v>
      </c>
      <c r="P25" s="61">
        <v>0</v>
      </c>
      <c r="Q25" s="61">
        <v>0</v>
      </c>
      <c r="R25" s="60">
        <f t="shared" si="2"/>
        <v>3507613</v>
      </c>
      <c r="S25" s="61">
        <v>0</v>
      </c>
      <c r="T25" s="62">
        <f t="shared" si="7"/>
        <v>0</v>
      </c>
      <c r="U25" s="61">
        <v>0</v>
      </c>
      <c r="V25" s="62">
        <f t="shared" si="3"/>
        <v>0</v>
      </c>
      <c r="W25" s="61">
        <v>0</v>
      </c>
      <c r="X25" s="63">
        <f t="shared" si="4"/>
        <v>0</v>
      </c>
      <c r="Y25" s="64"/>
    </row>
    <row r="26" spans="1:25" s="42" customFormat="1" ht="9" customHeight="1" x14ac:dyDescent="0.2">
      <c r="A26" s="66"/>
      <c r="B26" s="67"/>
      <c r="C26" s="68"/>
      <c r="D26" s="69"/>
      <c r="E26" s="70"/>
      <c r="F26" s="71"/>
      <c r="G26" s="72"/>
      <c r="H26" s="68"/>
      <c r="I26" s="73"/>
      <c r="J26" s="74"/>
      <c r="K26" s="75"/>
      <c r="L26" s="76"/>
      <c r="M26" s="76"/>
      <c r="N26" s="75"/>
      <c r="O26" s="76"/>
      <c r="P26" s="76"/>
      <c r="Q26" s="76"/>
      <c r="R26" s="75"/>
      <c r="S26" s="76"/>
      <c r="T26" s="77"/>
      <c r="U26" s="76"/>
      <c r="V26" s="77"/>
      <c r="W26" s="76"/>
      <c r="X26" s="78"/>
    </row>
    <row r="27" spans="1:25" s="50" customFormat="1" ht="39" customHeight="1" x14ac:dyDescent="0.2">
      <c r="A27" s="79" t="s">
        <v>47</v>
      </c>
      <c r="B27" s="195" t="s">
        <v>48</v>
      </c>
      <c r="C27" s="196"/>
      <c r="D27" s="80" t="s">
        <v>67</v>
      </c>
      <c r="E27" s="81" t="s">
        <v>58</v>
      </c>
      <c r="F27" s="195" t="s">
        <v>68</v>
      </c>
      <c r="G27" s="197"/>
      <c r="H27" s="197"/>
      <c r="I27" s="197"/>
      <c r="J27" s="196"/>
      <c r="K27" s="82">
        <f>SUM(K28:K31)</f>
        <v>72443281</v>
      </c>
      <c r="L27" s="82">
        <f t="shared" ref="L27:S27" si="8">SUM(L28:L31)</f>
        <v>566728</v>
      </c>
      <c r="M27" s="82">
        <f t="shared" si="8"/>
        <v>1697000</v>
      </c>
      <c r="N27" s="82">
        <f t="shared" si="8"/>
        <v>71313009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71313009</v>
      </c>
      <c r="S27" s="82">
        <f t="shared" si="8"/>
        <v>60187069.25</v>
      </c>
      <c r="T27" s="83">
        <f>S27/R27</f>
        <v>0.84398442996564627</v>
      </c>
      <c r="U27" s="82">
        <f>SUM(U28:U31)</f>
        <v>60187069.25</v>
      </c>
      <c r="V27" s="83">
        <f>U27/R27</f>
        <v>0.84398442996564627</v>
      </c>
      <c r="W27" s="82">
        <f>SUM(W28:W31)</f>
        <v>59820957.670000009</v>
      </c>
      <c r="X27" s="84">
        <f>W27/R27</f>
        <v>0.83885056189397378</v>
      </c>
      <c r="Y27" s="49"/>
    </row>
    <row r="28" spans="1:25" s="65" customFormat="1" ht="39" customHeight="1" x14ac:dyDescent="0.2">
      <c r="A28" s="51" t="s">
        <v>47</v>
      </c>
      <c r="B28" s="52" t="s">
        <v>48</v>
      </c>
      <c r="C28" s="53" t="s">
        <v>60</v>
      </c>
      <c r="D28" s="54" t="s">
        <v>67</v>
      </c>
      <c r="E28" s="55" t="s">
        <v>58</v>
      </c>
      <c r="F28" s="56" t="s">
        <v>68</v>
      </c>
      <c r="G28" s="57">
        <v>1</v>
      </c>
      <c r="H28" s="53" t="s">
        <v>53</v>
      </c>
      <c r="I28" s="58" t="s">
        <v>54</v>
      </c>
      <c r="J28" s="59">
        <v>1</v>
      </c>
      <c r="K28" s="60">
        <f>66933451+30215+622475+4405140</f>
        <v>71991281</v>
      </c>
      <c r="L28" s="61">
        <f>145000</f>
        <v>145000</v>
      </c>
      <c r="M28" s="61">
        <f>1470000</f>
        <v>1470000</v>
      </c>
      <c r="N28" s="60">
        <f t="shared" si="1"/>
        <v>70666281</v>
      </c>
      <c r="O28" s="61">
        <v>0</v>
      </c>
      <c r="P28" s="61">
        <v>0</v>
      </c>
      <c r="Q28" s="61">
        <v>0</v>
      </c>
      <c r="R28" s="60">
        <f t="shared" si="2"/>
        <v>70666281</v>
      </c>
      <c r="S28" s="61">
        <f>5517703.2+5643736.43+5323290.43+5270438.2+5276977.91+5494660.15+5294006.81+5358728.57+5349427+6030967.62+5499928.58</f>
        <v>60059864.899999999</v>
      </c>
      <c r="T28" s="62">
        <f>S28/R28</f>
        <v>0.8499083870000177</v>
      </c>
      <c r="U28" s="61">
        <f>5517703.2+5643736.43+5323290.43+5270438.2+5276977.91+5494660.15+5294006.81+5358728.57+5349427+6030967.62+5499928.58</f>
        <v>60059864.899999999</v>
      </c>
      <c r="V28" s="62">
        <f t="shared" si="3"/>
        <v>0.8499083870000177</v>
      </c>
      <c r="W28" s="61">
        <f>5186417.96+5632789.75+5317861.93+5268856.95+5278087.92+5474622.73+5318139.32+5354179.42+5348235.37+6006287.16+5508274.81</f>
        <v>59693753.320000008</v>
      </c>
      <c r="X28" s="63">
        <f t="shared" si="4"/>
        <v>0.84472753447998783</v>
      </c>
      <c r="Y28" s="64"/>
    </row>
    <row r="29" spans="1:25" s="65" customFormat="1" ht="39" customHeight="1" x14ac:dyDescent="0.2">
      <c r="A29" s="51" t="s">
        <v>47</v>
      </c>
      <c r="B29" s="52" t="s">
        <v>48</v>
      </c>
      <c r="C29" s="53" t="s">
        <v>60</v>
      </c>
      <c r="D29" s="54" t="s">
        <v>67</v>
      </c>
      <c r="E29" s="55" t="s">
        <v>58</v>
      </c>
      <c r="F29" s="56" t="s">
        <v>68</v>
      </c>
      <c r="G29" s="57">
        <v>1</v>
      </c>
      <c r="H29" s="53" t="s">
        <v>53</v>
      </c>
      <c r="I29" s="58" t="s">
        <v>54</v>
      </c>
      <c r="J29" s="59">
        <v>3</v>
      </c>
      <c r="K29" s="60">
        <v>52000</v>
      </c>
      <c r="L29" s="61">
        <f>58000</f>
        <v>58000</v>
      </c>
      <c r="M29" s="61">
        <v>0</v>
      </c>
      <c r="N29" s="60">
        <f t="shared" si="1"/>
        <v>110000</v>
      </c>
      <c r="O29" s="61">
        <v>0</v>
      </c>
      <c r="P29" s="61">
        <v>0</v>
      </c>
      <c r="Q29" s="61">
        <v>0</v>
      </c>
      <c r="R29" s="60">
        <f t="shared" si="2"/>
        <v>110000</v>
      </c>
      <c r="S29" s="61">
        <f>954+998+1996+4513.99+998+1996+998</f>
        <v>12453.99</v>
      </c>
      <c r="T29" s="62">
        <f>S29/R29</f>
        <v>0.11321809090909091</v>
      </c>
      <c r="U29" s="61">
        <f>954+998+1996+4513.99+998+1996+998</f>
        <v>12453.99</v>
      </c>
      <c r="V29" s="62">
        <f t="shared" si="3"/>
        <v>0.11321809090909091</v>
      </c>
      <c r="W29" s="61">
        <f>954+998+1996+4513.99+998+1996+998</f>
        <v>12453.99</v>
      </c>
      <c r="X29" s="63">
        <f t="shared" si="4"/>
        <v>0.11321809090909091</v>
      </c>
      <c r="Y29" s="64"/>
    </row>
    <row r="30" spans="1:25" s="65" customFormat="1" ht="39" customHeight="1" x14ac:dyDescent="0.2">
      <c r="A30" s="51" t="s">
        <v>47</v>
      </c>
      <c r="B30" s="52" t="s">
        <v>48</v>
      </c>
      <c r="C30" s="53" t="s">
        <v>60</v>
      </c>
      <c r="D30" s="54" t="s">
        <v>67</v>
      </c>
      <c r="E30" s="55" t="s">
        <v>58</v>
      </c>
      <c r="F30" s="56" t="s">
        <v>68</v>
      </c>
      <c r="G30" s="57">
        <v>1</v>
      </c>
      <c r="H30" s="53" t="s">
        <v>61</v>
      </c>
      <c r="I30" s="58" t="s">
        <v>62</v>
      </c>
      <c r="J30" s="59">
        <v>1</v>
      </c>
      <c r="K30" s="60">
        <v>400000</v>
      </c>
      <c r="L30" s="61">
        <v>0</v>
      </c>
      <c r="M30" s="61">
        <f>227000</f>
        <v>227000</v>
      </c>
      <c r="N30" s="60">
        <f t="shared" si="1"/>
        <v>173000</v>
      </c>
      <c r="O30" s="61">
        <v>0</v>
      </c>
      <c r="P30" s="61">
        <v>0</v>
      </c>
      <c r="Q30" s="61">
        <v>0</v>
      </c>
      <c r="R30" s="60">
        <f t="shared" si="2"/>
        <v>173000</v>
      </c>
      <c r="S30" s="61">
        <f>41691.42+65304.49+2380.8+2434.93</f>
        <v>111811.64</v>
      </c>
      <c r="T30" s="62">
        <f>S30/R30</f>
        <v>0.64631005780346817</v>
      </c>
      <c r="U30" s="61">
        <f>41691.42+65304.49+2380.8+2434.93</f>
        <v>111811.64</v>
      </c>
      <c r="V30" s="62">
        <f t="shared" si="3"/>
        <v>0.64631005780346817</v>
      </c>
      <c r="W30" s="61">
        <f>41691.42+65304.49+2380.8+2434.93</f>
        <v>111811.64</v>
      </c>
      <c r="X30" s="63">
        <f t="shared" si="4"/>
        <v>0.64631005780346817</v>
      </c>
      <c r="Y30" s="64"/>
    </row>
    <row r="31" spans="1:25" s="65" customFormat="1" ht="39" customHeight="1" x14ac:dyDescent="0.2">
      <c r="A31" s="51" t="s">
        <v>47</v>
      </c>
      <c r="B31" s="52" t="s">
        <v>48</v>
      </c>
      <c r="C31" s="53" t="s">
        <v>60</v>
      </c>
      <c r="D31" s="54" t="s">
        <v>67</v>
      </c>
      <c r="E31" s="55" t="s">
        <v>58</v>
      </c>
      <c r="F31" s="56" t="s">
        <v>68</v>
      </c>
      <c r="G31" s="57">
        <v>1</v>
      </c>
      <c r="H31" s="85" t="s">
        <v>63</v>
      </c>
      <c r="I31" s="86" t="s">
        <v>64</v>
      </c>
      <c r="J31" s="59">
        <v>1</v>
      </c>
      <c r="K31" s="60">
        <v>0</v>
      </c>
      <c r="L31" s="61">
        <f>363728</f>
        <v>363728</v>
      </c>
      <c r="M31" s="61">
        <v>0</v>
      </c>
      <c r="N31" s="60">
        <f t="shared" si="1"/>
        <v>363728</v>
      </c>
      <c r="O31" s="61">
        <f>312896.1-312896.1</f>
        <v>0</v>
      </c>
      <c r="P31" s="61">
        <v>0</v>
      </c>
      <c r="Q31" s="61">
        <v>0</v>
      </c>
      <c r="R31" s="60">
        <f t="shared" si="2"/>
        <v>363728</v>
      </c>
      <c r="S31" s="61">
        <f>2938.72</f>
        <v>2938.72</v>
      </c>
      <c r="T31" s="62">
        <f>S31/R31</f>
        <v>8.0794439801170105E-3</v>
      </c>
      <c r="U31" s="61">
        <f>2938.72</f>
        <v>2938.72</v>
      </c>
      <c r="V31" s="62">
        <f t="shared" si="3"/>
        <v>8.0794439801170105E-3</v>
      </c>
      <c r="W31" s="61">
        <f>2938.72</f>
        <v>2938.72</v>
      </c>
      <c r="X31" s="63">
        <f t="shared" si="4"/>
        <v>8.0794439801170105E-3</v>
      </c>
      <c r="Y31" s="64"/>
    </row>
    <row r="32" spans="1:25" s="42" customFormat="1" ht="9" customHeight="1" x14ac:dyDescent="0.2">
      <c r="A32" s="66"/>
      <c r="B32" s="67"/>
      <c r="C32" s="68"/>
      <c r="D32" s="69"/>
      <c r="E32" s="70"/>
      <c r="F32" s="71"/>
      <c r="G32" s="72"/>
      <c r="H32" s="68"/>
      <c r="I32" s="73"/>
      <c r="J32" s="74"/>
      <c r="K32" s="75"/>
      <c r="L32" s="76"/>
      <c r="M32" s="76"/>
      <c r="N32" s="75"/>
      <c r="O32" s="76"/>
      <c r="P32" s="76"/>
      <c r="Q32" s="76"/>
      <c r="R32" s="75"/>
      <c r="S32" s="76"/>
      <c r="T32" s="77"/>
      <c r="U32" s="76"/>
      <c r="V32" s="77"/>
      <c r="W32" s="76"/>
      <c r="X32" s="78"/>
    </row>
    <row r="33" spans="1:25" s="50" customFormat="1" ht="39" customHeight="1" x14ac:dyDescent="0.2">
      <c r="A33" s="79" t="s">
        <v>47</v>
      </c>
      <c r="B33" s="195" t="s">
        <v>48</v>
      </c>
      <c r="C33" s="196"/>
      <c r="D33" s="80" t="s">
        <v>69</v>
      </c>
      <c r="E33" s="81" t="s">
        <v>58</v>
      </c>
      <c r="F33" s="195" t="s">
        <v>70</v>
      </c>
      <c r="G33" s="197"/>
      <c r="H33" s="197"/>
      <c r="I33" s="197"/>
      <c r="J33" s="196"/>
      <c r="K33" s="82">
        <f>SUM(K34:K38)</f>
        <v>159683549</v>
      </c>
      <c r="L33" s="82">
        <f t="shared" ref="L33:U33" si="9">SUM(L34:L38)</f>
        <v>1370005</v>
      </c>
      <c r="M33" s="82">
        <f t="shared" si="9"/>
        <v>5376000</v>
      </c>
      <c r="N33" s="82">
        <f t="shared" si="9"/>
        <v>155677554</v>
      </c>
      <c r="O33" s="82">
        <f t="shared" si="9"/>
        <v>0</v>
      </c>
      <c r="P33" s="82">
        <f t="shared" si="9"/>
        <v>0</v>
      </c>
      <c r="Q33" s="82">
        <f t="shared" si="9"/>
        <v>-670603.59</v>
      </c>
      <c r="R33" s="82">
        <f t="shared" si="9"/>
        <v>155006950.41</v>
      </c>
      <c r="S33" s="82">
        <f t="shared" si="9"/>
        <v>132106309.01000001</v>
      </c>
      <c r="T33" s="83">
        <f>S33/R33</f>
        <v>0.8522605512886563</v>
      </c>
      <c r="U33" s="82">
        <f t="shared" si="9"/>
        <v>131801080.67999999</v>
      </c>
      <c r="V33" s="83">
        <f>U33/R33</f>
        <v>0.85029142455470874</v>
      </c>
      <c r="W33" s="82">
        <f>SUM(W34:W38)</f>
        <v>130680360.28</v>
      </c>
      <c r="X33" s="84">
        <f>W33/R33</f>
        <v>0.84306129456998458</v>
      </c>
      <c r="Y33" s="49"/>
    </row>
    <row r="34" spans="1:25" s="65" customFormat="1" ht="39" customHeight="1" x14ac:dyDescent="0.2">
      <c r="A34" s="51" t="s">
        <v>47</v>
      </c>
      <c r="B34" s="52" t="s">
        <v>48</v>
      </c>
      <c r="C34" s="53" t="s">
        <v>60</v>
      </c>
      <c r="D34" s="54" t="s">
        <v>69</v>
      </c>
      <c r="E34" s="55" t="s">
        <v>58</v>
      </c>
      <c r="F34" s="56" t="s">
        <v>70</v>
      </c>
      <c r="G34" s="57">
        <v>1</v>
      </c>
      <c r="H34" s="53" t="s">
        <v>53</v>
      </c>
      <c r="I34" s="58" t="s">
        <v>54</v>
      </c>
      <c r="J34" s="59">
        <v>1</v>
      </c>
      <c r="K34" s="60">
        <f>134230350+40000+9573135+13986064</f>
        <v>157829549</v>
      </c>
      <c r="L34" s="61">
        <f>450000</f>
        <v>450000</v>
      </c>
      <c r="M34" s="61">
        <f>5376000</f>
        <v>5376000</v>
      </c>
      <c r="N34" s="60">
        <f t="shared" si="1"/>
        <v>152903549</v>
      </c>
      <c r="O34" s="61">
        <v>0</v>
      </c>
      <c r="P34" s="61">
        <v>0</v>
      </c>
      <c r="Q34" s="61">
        <f>-108819.05-68893.62-68400.33-67510.79-67510.79-67510.79-73566.52-74825.18-73566.52</f>
        <v>-670603.59</v>
      </c>
      <c r="R34" s="60">
        <f t="shared" si="2"/>
        <v>152232945.41</v>
      </c>
      <c r="S34" s="61">
        <f>12289821.23+12411847.23+11635460.56+11424289.63+11570579.71+12070685.28+11507546.52+11441346.7+11433958.86+12722809.56+11469970.7</f>
        <v>129978315.98</v>
      </c>
      <c r="T34" s="62">
        <f>S34/R34</f>
        <v>0.85381200258549217</v>
      </c>
      <c r="U34" s="61">
        <f>12289821.23+12411847.23+11563454.86+11424289.63+11570579.71+12070685.28+11419865.41+11343065.66+11433958.86+12675549.08+11469970.7</f>
        <v>129673087.64999999</v>
      </c>
      <c r="V34" s="62">
        <f t="shared" si="3"/>
        <v>0.85180699421376316</v>
      </c>
      <c r="W34" s="61">
        <f>11035921.98+12586805.82+11563103.72+11457551.77+11566414.84+12060394.77+11429838.72+11284272.62+11491939.24+12476072.97+11654604.3</f>
        <v>128606920.75</v>
      </c>
      <c r="X34" s="63">
        <f t="shared" si="4"/>
        <v>0.8448034714406305</v>
      </c>
      <c r="Y34" s="64"/>
    </row>
    <row r="35" spans="1:25" s="65" customFormat="1" ht="39" customHeight="1" x14ac:dyDescent="0.2">
      <c r="A35" s="51" t="s">
        <v>47</v>
      </c>
      <c r="B35" s="52" t="s">
        <v>48</v>
      </c>
      <c r="C35" s="53" t="s">
        <v>60</v>
      </c>
      <c r="D35" s="54" t="s">
        <v>69</v>
      </c>
      <c r="E35" s="55" t="s">
        <v>58</v>
      </c>
      <c r="F35" s="56" t="s">
        <v>70</v>
      </c>
      <c r="G35" s="57">
        <v>1</v>
      </c>
      <c r="H35" s="53" t="s">
        <v>53</v>
      </c>
      <c r="I35" s="58" t="s">
        <v>54</v>
      </c>
      <c r="J35" s="59">
        <v>3</v>
      </c>
      <c r="K35" s="60">
        <v>150000</v>
      </c>
      <c r="L35" s="61">
        <f>140000</f>
        <v>140000</v>
      </c>
      <c r="M35" s="61">
        <v>0</v>
      </c>
      <c r="N35" s="60">
        <f t="shared" si="1"/>
        <v>290000</v>
      </c>
      <c r="O35" s="61">
        <v>0</v>
      </c>
      <c r="P35" s="61">
        <v>0</v>
      </c>
      <c r="Q35" s="61">
        <v>0</v>
      </c>
      <c r="R35" s="60">
        <f t="shared" si="2"/>
        <v>290000</v>
      </c>
      <c r="S35" s="61">
        <f>13338.33+15652.76+1996+22841.03+10063.99+34961.32+20833.8+28466.97+43603.81+1074.76</f>
        <v>192832.77000000002</v>
      </c>
      <c r="T35" s="62">
        <f>S35/R35</f>
        <v>0.66494058620689667</v>
      </c>
      <c r="U35" s="61">
        <f>13338.33+15652.76+1996+22841.03+470.02+44555.29+20833.8+28466.97+8193.07+36485.5</f>
        <v>192832.77000000002</v>
      </c>
      <c r="V35" s="62">
        <f>U35/R35</f>
        <v>0.66494058620689667</v>
      </c>
      <c r="W35" s="61">
        <f>13338.33+15652.76+1996+22841.03+470.02+44555.29+20833.8+28466.97+8193.07+36485.5</f>
        <v>192832.77000000002</v>
      </c>
      <c r="X35" s="63">
        <f t="shared" si="4"/>
        <v>0.66494058620689667</v>
      </c>
      <c r="Y35" s="64"/>
    </row>
    <row r="36" spans="1:25" s="65" customFormat="1" ht="39" customHeight="1" x14ac:dyDescent="0.2">
      <c r="A36" s="51" t="s">
        <v>47</v>
      </c>
      <c r="B36" s="52" t="s">
        <v>48</v>
      </c>
      <c r="C36" s="53" t="s">
        <v>60</v>
      </c>
      <c r="D36" s="54" t="s">
        <v>69</v>
      </c>
      <c r="E36" s="55" t="s">
        <v>58</v>
      </c>
      <c r="F36" s="56" t="s">
        <v>70</v>
      </c>
      <c r="G36" s="57">
        <v>1</v>
      </c>
      <c r="H36" s="53" t="s">
        <v>61</v>
      </c>
      <c r="I36" s="58" t="s">
        <v>62</v>
      </c>
      <c r="J36" s="59">
        <v>1</v>
      </c>
      <c r="K36" s="60">
        <v>1704000</v>
      </c>
      <c r="L36" s="61">
        <f>140000</f>
        <v>140000</v>
      </c>
      <c r="M36" s="61">
        <v>0</v>
      </c>
      <c r="N36" s="60">
        <f t="shared" si="1"/>
        <v>1844000</v>
      </c>
      <c r="O36" s="61">
        <v>0</v>
      </c>
      <c r="P36" s="61">
        <v>0</v>
      </c>
      <c r="Q36" s="61">
        <v>0</v>
      </c>
      <c r="R36" s="60">
        <f t="shared" si="2"/>
        <v>1844000</v>
      </c>
      <c r="S36" s="61">
        <f>99778.24+141638.64+159949.73+209842.19+155520.98+264259+283819.68+268364.94+165444.44+88346.59</f>
        <v>1836964.43</v>
      </c>
      <c r="T36" s="62">
        <f>S36/R36</f>
        <v>0.99618461496746202</v>
      </c>
      <c r="U36" s="61">
        <f>27289.3+159548.98+214528.33+209842.19+116306.22+277939.91+309353.53+268364.94+165444.44+88346.59</f>
        <v>1836964.43</v>
      </c>
      <c r="V36" s="62">
        <f>U36/R36</f>
        <v>0.99618461496746202</v>
      </c>
      <c r="W36" s="61">
        <f>27289.3+159548.98+176141.1+182276.14+182259.5+277939.91+309353.53+268364.94+129062.55+124728.48</f>
        <v>1836964.43</v>
      </c>
      <c r="X36" s="63">
        <f t="shared" si="4"/>
        <v>0.99618461496746202</v>
      </c>
      <c r="Y36" s="64"/>
    </row>
    <row r="37" spans="1:25" s="65" customFormat="1" ht="39" customHeight="1" x14ac:dyDescent="0.2">
      <c r="A37" s="51" t="s">
        <v>47</v>
      </c>
      <c r="B37" s="52" t="s">
        <v>48</v>
      </c>
      <c r="C37" s="53" t="s">
        <v>60</v>
      </c>
      <c r="D37" s="54" t="s">
        <v>69</v>
      </c>
      <c r="E37" s="55" t="s">
        <v>58</v>
      </c>
      <c r="F37" s="56" t="s">
        <v>70</v>
      </c>
      <c r="G37" s="57">
        <v>1</v>
      </c>
      <c r="H37" s="85" t="s">
        <v>63</v>
      </c>
      <c r="I37" s="86" t="s">
        <v>64</v>
      </c>
      <c r="J37" s="59">
        <v>1</v>
      </c>
      <c r="K37" s="60">
        <v>0</v>
      </c>
      <c r="L37" s="61">
        <f>80005</f>
        <v>80005</v>
      </c>
      <c r="M37" s="61">
        <v>0</v>
      </c>
      <c r="N37" s="60">
        <f t="shared" si="1"/>
        <v>80005</v>
      </c>
      <c r="O37" s="61">
        <f>80005-80005</f>
        <v>0</v>
      </c>
      <c r="P37" s="61">
        <v>0</v>
      </c>
      <c r="Q37" s="61">
        <v>0</v>
      </c>
      <c r="R37" s="60">
        <f t="shared" si="2"/>
        <v>80005</v>
      </c>
      <c r="S37" s="61">
        <v>0</v>
      </c>
      <c r="T37" s="62">
        <f t="shared" ref="T37:T38" si="10">S37/R37</f>
        <v>0</v>
      </c>
      <c r="U37" s="61">
        <v>0</v>
      </c>
      <c r="V37" s="62">
        <f t="shared" ref="V37:V38" si="11">U37/R37</f>
        <v>0</v>
      </c>
      <c r="W37" s="61">
        <v>0</v>
      </c>
      <c r="X37" s="63">
        <f t="shared" si="4"/>
        <v>0</v>
      </c>
      <c r="Y37" s="64"/>
    </row>
    <row r="38" spans="1:25" s="65" customFormat="1" ht="39" customHeight="1" x14ac:dyDescent="0.2">
      <c r="A38" s="51" t="s">
        <v>47</v>
      </c>
      <c r="B38" s="52" t="s">
        <v>48</v>
      </c>
      <c r="C38" s="53" t="s">
        <v>60</v>
      </c>
      <c r="D38" s="54" t="s">
        <v>69</v>
      </c>
      <c r="E38" s="55" t="s">
        <v>58</v>
      </c>
      <c r="F38" s="56" t="s">
        <v>70</v>
      </c>
      <c r="G38" s="57">
        <v>1</v>
      </c>
      <c r="H38" s="87" t="s">
        <v>65</v>
      </c>
      <c r="I38" s="88" t="s">
        <v>66</v>
      </c>
      <c r="J38" s="59">
        <v>1</v>
      </c>
      <c r="K38" s="60">
        <v>0</v>
      </c>
      <c r="L38" s="61">
        <f>560000</f>
        <v>560000</v>
      </c>
      <c r="M38" s="61">
        <v>0</v>
      </c>
      <c r="N38" s="60">
        <f t="shared" si="1"/>
        <v>560000</v>
      </c>
      <c r="O38" s="61">
        <v>0</v>
      </c>
      <c r="P38" s="61">
        <v>0</v>
      </c>
      <c r="Q38" s="61">
        <v>0</v>
      </c>
      <c r="R38" s="60">
        <f t="shared" si="2"/>
        <v>560000</v>
      </c>
      <c r="S38" s="61">
        <f>98195.83</f>
        <v>98195.83</v>
      </c>
      <c r="T38" s="62">
        <f t="shared" si="10"/>
        <v>0.17534969642857143</v>
      </c>
      <c r="U38" s="61">
        <f>98195.83</f>
        <v>98195.83</v>
      </c>
      <c r="V38" s="62">
        <f t="shared" si="11"/>
        <v>0.17534969642857143</v>
      </c>
      <c r="W38" s="61">
        <f>43642.33</f>
        <v>43642.33</v>
      </c>
      <c r="X38" s="63">
        <f t="shared" si="4"/>
        <v>7.7932732142857147E-2</v>
      </c>
      <c r="Y38" s="64"/>
    </row>
    <row r="39" spans="1:25" s="42" customFormat="1" ht="9" customHeight="1" x14ac:dyDescent="0.2">
      <c r="A39" s="66"/>
      <c r="B39" s="67"/>
      <c r="C39" s="68"/>
      <c r="D39" s="69"/>
      <c r="E39" s="70"/>
      <c r="F39" s="71"/>
      <c r="G39" s="72"/>
      <c r="H39" s="68"/>
      <c r="I39" s="73"/>
      <c r="J39" s="74"/>
      <c r="K39" s="75"/>
      <c r="L39" s="76"/>
      <c r="M39" s="76"/>
      <c r="N39" s="75"/>
      <c r="O39" s="76"/>
      <c r="P39" s="76"/>
      <c r="Q39" s="76"/>
      <c r="R39" s="75"/>
      <c r="S39" s="76"/>
      <c r="T39" s="77"/>
      <c r="U39" s="76"/>
      <c r="V39" s="77"/>
      <c r="W39" s="76"/>
      <c r="X39" s="78"/>
    </row>
    <row r="40" spans="1:25" s="50" customFormat="1" ht="39" customHeight="1" x14ac:dyDescent="0.2">
      <c r="A40" s="79" t="s">
        <v>47</v>
      </c>
      <c r="B40" s="195" t="s">
        <v>48</v>
      </c>
      <c r="C40" s="196"/>
      <c r="D40" s="80" t="s">
        <v>71</v>
      </c>
      <c r="E40" s="81" t="s">
        <v>58</v>
      </c>
      <c r="F40" s="195" t="s">
        <v>72</v>
      </c>
      <c r="G40" s="197"/>
      <c r="H40" s="197"/>
      <c r="I40" s="197"/>
      <c r="J40" s="196"/>
      <c r="K40" s="82">
        <f>SUM(K41:K45)</f>
        <v>159826022</v>
      </c>
      <c r="L40" s="82">
        <f t="shared" ref="L40:S40" si="12">SUM(L41:L45)</f>
        <v>22620550.93</v>
      </c>
      <c r="M40" s="82">
        <f t="shared" si="12"/>
        <v>150000</v>
      </c>
      <c r="N40" s="82">
        <f t="shared" si="12"/>
        <v>182296572.93000001</v>
      </c>
      <c r="O40" s="82">
        <f t="shared" si="12"/>
        <v>0</v>
      </c>
      <c r="P40" s="82">
        <f t="shared" si="12"/>
        <v>0</v>
      </c>
      <c r="Q40" s="82">
        <f t="shared" si="12"/>
        <v>0</v>
      </c>
      <c r="R40" s="82">
        <f t="shared" si="12"/>
        <v>182296572.93000001</v>
      </c>
      <c r="S40" s="82">
        <f t="shared" si="12"/>
        <v>153751853.21000004</v>
      </c>
      <c r="T40" s="83">
        <f t="shared" ref="T40:T45" si="13">S40/R40</f>
        <v>0.84341603760724104</v>
      </c>
      <c r="U40" s="82">
        <f>SUM(U41:U45)</f>
        <v>152457106.99000004</v>
      </c>
      <c r="V40" s="83">
        <f>U40/R40</f>
        <v>0.83631362092880368</v>
      </c>
      <c r="W40" s="82">
        <f>SUM(W41:W45)</f>
        <v>150092361.00999999</v>
      </c>
      <c r="X40" s="84">
        <f>W40/R40</f>
        <v>0.82334164925653264</v>
      </c>
      <c r="Y40" s="49"/>
    </row>
    <row r="41" spans="1:25" s="65" customFormat="1" ht="39" customHeight="1" x14ac:dyDescent="0.2">
      <c r="A41" s="51" t="s">
        <v>47</v>
      </c>
      <c r="B41" s="52" t="s">
        <v>48</v>
      </c>
      <c r="C41" s="53" t="s">
        <v>60</v>
      </c>
      <c r="D41" s="54" t="s">
        <v>71</v>
      </c>
      <c r="E41" s="55" t="s">
        <v>58</v>
      </c>
      <c r="F41" s="56" t="s">
        <v>72</v>
      </c>
      <c r="G41" s="57">
        <v>1</v>
      </c>
      <c r="H41" s="53" t="s">
        <v>53</v>
      </c>
      <c r="I41" s="58" t="s">
        <v>54</v>
      </c>
      <c r="J41" s="59">
        <v>1</v>
      </c>
      <c r="K41" s="60">
        <f>129240922+7110470+22024630</f>
        <v>158376022</v>
      </c>
      <c r="L41" s="61">
        <f>16547810+1630000</f>
        <v>18177810</v>
      </c>
      <c r="M41" s="61">
        <v>0</v>
      </c>
      <c r="N41" s="60">
        <f t="shared" si="1"/>
        <v>176553832</v>
      </c>
      <c r="O41" s="61">
        <v>0</v>
      </c>
      <c r="P41" s="61">
        <v>0</v>
      </c>
      <c r="Q41" s="61">
        <v>0</v>
      </c>
      <c r="R41" s="60">
        <f t="shared" si="2"/>
        <v>176553832</v>
      </c>
      <c r="S41" s="61">
        <f>14021677.46+13656345.61+13708925.56+13602872.02+13476499.22+14135472.15+13979415.42+13874531.4+13306467.43+13863842.96+13900619.55</f>
        <v>151526668.78000003</v>
      </c>
      <c r="T41" s="62">
        <f t="shared" si="13"/>
        <v>0.8582462757307926</v>
      </c>
      <c r="U41" s="61">
        <f>14021677.46+13656345.61+13708925.56+13602872.02+13476499.22+14135472.15+13979415.42+13874531.4+13306467.43+13831236.08+13933226.43</f>
        <v>151526668.78000003</v>
      </c>
      <c r="V41" s="62">
        <f>U41/R41</f>
        <v>0.8582462757307926</v>
      </c>
      <c r="W41" s="61">
        <f>12182631.95+13661803.25+13705569.74+13615762.73+13476499.22+14138664.62+13979470.84+13886786.35+13306467.43+13827193.41+13381073.26</f>
        <v>149161922.79999998</v>
      </c>
      <c r="X41" s="63">
        <f t="shared" si="4"/>
        <v>0.84485236661416663</v>
      </c>
      <c r="Y41" s="64"/>
    </row>
    <row r="42" spans="1:25" s="65" customFormat="1" ht="39" customHeight="1" x14ac:dyDescent="0.2">
      <c r="A42" s="51" t="s">
        <v>47</v>
      </c>
      <c r="B42" s="52" t="s">
        <v>48</v>
      </c>
      <c r="C42" s="53" t="s">
        <v>60</v>
      </c>
      <c r="D42" s="54" t="s">
        <v>71</v>
      </c>
      <c r="E42" s="55" t="s">
        <v>58</v>
      </c>
      <c r="F42" s="56" t="s">
        <v>72</v>
      </c>
      <c r="G42" s="57">
        <v>1</v>
      </c>
      <c r="H42" s="53" t="s">
        <v>53</v>
      </c>
      <c r="I42" s="58" t="s">
        <v>54</v>
      </c>
      <c r="J42" s="59">
        <v>3</v>
      </c>
      <c r="K42" s="60">
        <v>250000</v>
      </c>
      <c r="L42" s="61">
        <v>0</v>
      </c>
      <c r="M42" s="61">
        <f>150000</f>
        <v>150000</v>
      </c>
      <c r="N42" s="60">
        <f t="shared" si="1"/>
        <v>100000</v>
      </c>
      <c r="O42" s="61">
        <v>0</v>
      </c>
      <c r="P42" s="61">
        <v>0</v>
      </c>
      <c r="Q42" s="61">
        <v>0</v>
      </c>
      <c r="R42" s="60">
        <f t="shared" si="2"/>
        <v>100000</v>
      </c>
      <c r="S42" s="61">
        <f>3512.81</f>
        <v>3512.81</v>
      </c>
      <c r="T42" s="62">
        <f t="shared" si="13"/>
        <v>3.5128100000000002E-2</v>
      </c>
      <c r="U42" s="61">
        <f>3512.81</f>
        <v>3512.81</v>
      </c>
      <c r="V42" s="62">
        <f t="shared" si="3"/>
        <v>3.5128100000000002E-2</v>
      </c>
      <c r="W42" s="61">
        <f>3512.81</f>
        <v>3512.81</v>
      </c>
      <c r="X42" s="63">
        <f t="shared" si="4"/>
        <v>3.5128100000000002E-2</v>
      </c>
      <c r="Y42" s="64"/>
    </row>
    <row r="43" spans="1:25" s="65" customFormat="1" ht="39" customHeight="1" x14ac:dyDescent="0.2">
      <c r="A43" s="51" t="s">
        <v>47</v>
      </c>
      <c r="B43" s="52" t="s">
        <v>48</v>
      </c>
      <c r="C43" s="53" t="s">
        <v>60</v>
      </c>
      <c r="D43" s="54" t="s">
        <v>71</v>
      </c>
      <c r="E43" s="55" t="s">
        <v>58</v>
      </c>
      <c r="F43" s="56" t="s">
        <v>72</v>
      </c>
      <c r="G43" s="57">
        <v>1</v>
      </c>
      <c r="H43" s="53" t="s">
        <v>61</v>
      </c>
      <c r="I43" s="58" t="s">
        <v>62</v>
      </c>
      <c r="J43" s="59">
        <v>1</v>
      </c>
      <c r="K43" s="60">
        <v>1200000</v>
      </c>
      <c r="L43" s="61">
        <v>0</v>
      </c>
      <c r="M43" s="61">
        <v>0</v>
      </c>
      <c r="N43" s="60">
        <f t="shared" si="1"/>
        <v>1200000</v>
      </c>
      <c r="O43" s="61">
        <v>0</v>
      </c>
      <c r="P43" s="61">
        <v>0</v>
      </c>
      <c r="Q43" s="61">
        <v>0</v>
      </c>
      <c r="R43" s="60">
        <f t="shared" si="2"/>
        <v>1200000</v>
      </c>
      <c r="S43" s="61">
        <f>188953.07+41208.65</f>
        <v>230161.72</v>
      </c>
      <c r="T43" s="62">
        <f t="shared" si="13"/>
        <v>0.19180143333333333</v>
      </c>
      <c r="U43" s="61">
        <f>188953.07+41208.65</f>
        <v>230161.72</v>
      </c>
      <c r="V43" s="62">
        <f t="shared" si="3"/>
        <v>0.19180143333333333</v>
      </c>
      <c r="W43" s="61">
        <f>188953.07+41208.65</f>
        <v>230161.72</v>
      </c>
      <c r="X43" s="63">
        <f t="shared" si="4"/>
        <v>0.19180143333333333</v>
      </c>
      <c r="Y43" s="64"/>
    </row>
    <row r="44" spans="1:25" s="65" customFormat="1" ht="39" customHeight="1" x14ac:dyDescent="0.2">
      <c r="A44" s="51" t="s">
        <v>47</v>
      </c>
      <c r="B44" s="52" t="s">
        <v>48</v>
      </c>
      <c r="C44" s="53" t="s">
        <v>60</v>
      </c>
      <c r="D44" s="54" t="s">
        <v>71</v>
      </c>
      <c r="E44" s="55" t="s">
        <v>58</v>
      </c>
      <c r="F44" s="56" t="s">
        <v>72</v>
      </c>
      <c r="G44" s="57">
        <v>1</v>
      </c>
      <c r="H44" s="85" t="s">
        <v>63</v>
      </c>
      <c r="I44" s="86" t="s">
        <v>64</v>
      </c>
      <c r="J44" s="59">
        <v>1</v>
      </c>
      <c r="K44" s="60">
        <v>0</v>
      </c>
      <c r="L44" s="61">
        <f>800000+179671+3276277.93</f>
        <v>4255948.93</v>
      </c>
      <c r="M44" s="61">
        <v>0</v>
      </c>
      <c r="N44" s="60">
        <f t="shared" si="1"/>
        <v>4255948.93</v>
      </c>
      <c r="O44" s="61">
        <f>800000-50000-30000-720000</f>
        <v>0</v>
      </c>
      <c r="P44" s="61">
        <v>0</v>
      </c>
      <c r="Q44" s="61">
        <v>0</v>
      </c>
      <c r="R44" s="60">
        <f t="shared" si="2"/>
        <v>4255948.93</v>
      </c>
      <c r="S44" s="61">
        <f>21822.79+110403.07+94212.07+28572.32+1705630.37</f>
        <v>1960640.62</v>
      </c>
      <c r="T44" s="62">
        <f t="shared" si="13"/>
        <v>0.46068236537791357</v>
      </c>
      <c r="U44" s="61">
        <f>21822.79+110403.07+94212.07+28572.32+410884.15</f>
        <v>665894.40000000002</v>
      </c>
      <c r="V44" s="62">
        <f t="shared" si="3"/>
        <v>0.15646202784674865</v>
      </c>
      <c r="W44" s="61">
        <f>21822.79+70174.1+40228.97+94212.07+28572.32+410884.15</f>
        <v>665894.40000000002</v>
      </c>
      <c r="X44" s="63">
        <f t="shared" si="4"/>
        <v>0.15646202784674865</v>
      </c>
      <c r="Y44" s="64"/>
    </row>
    <row r="45" spans="1:25" s="65" customFormat="1" ht="39" customHeight="1" x14ac:dyDescent="0.2">
      <c r="A45" s="51" t="s">
        <v>47</v>
      </c>
      <c r="B45" s="52" t="s">
        <v>48</v>
      </c>
      <c r="C45" s="53" t="s">
        <v>60</v>
      </c>
      <c r="D45" s="54" t="s">
        <v>71</v>
      </c>
      <c r="E45" s="55" t="s">
        <v>58</v>
      </c>
      <c r="F45" s="56" t="s">
        <v>72</v>
      </c>
      <c r="G45" s="57">
        <v>1</v>
      </c>
      <c r="H45" s="85" t="s">
        <v>63</v>
      </c>
      <c r="I45" s="86" t="s">
        <v>64</v>
      </c>
      <c r="J45" s="59">
        <v>3</v>
      </c>
      <c r="K45" s="60">
        <v>0</v>
      </c>
      <c r="L45" s="61">
        <f>186792</f>
        <v>186792</v>
      </c>
      <c r="M45" s="61">
        <v>0</v>
      </c>
      <c r="N45" s="60">
        <f t="shared" si="1"/>
        <v>186792</v>
      </c>
      <c r="O45" s="61">
        <v>0</v>
      </c>
      <c r="P45" s="61">
        <v>0</v>
      </c>
      <c r="Q45" s="61">
        <v>0</v>
      </c>
      <c r="R45" s="60">
        <f t="shared" si="2"/>
        <v>186792</v>
      </c>
      <c r="S45" s="61">
        <f>30869.28</f>
        <v>30869.279999999999</v>
      </c>
      <c r="T45" s="62">
        <f t="shared" si="13"/>
        <v>0.16526018244892715</v>
      </c>
      <c r="U45" s="61">
        <f>30869.28</f>
        <v>30869.279999999999</v>
      </c>
      <c r="V45" s="62">
        <f t="shared" si="3"/>
        <v>0.16526018244892715</v>
      </c>
      <c r="W45" s="61">
        <f>30869.28</f>
        <v>30869.279999999999</v>
      </c>
      <c r="X45" s="63">
        <f t="shared" si="4"/>
        <v>0.16526018244892715</v>
      </c>
      <c r="Y45" s="64"/>
    </row>
    <row r="46" spans="1:25" s="42" customFormat="1" ht="9" customHeight="1" x14ac:dyDescent="0.2">
      <c r="A46" s="66"/>
      <c r="B46" s="67"/>
      <c r="C46" s="68"/>
      <c r="D46" s="69"/>
      <c r="E46" s="70"/>
      <c r="F46" s="71"/>
      <c r="G46" s="72"/>
      <c r="H46" s="68"/>
      <c r="I46" s="73"/>
      <c r="J46" s="74"/>
      <c r="K46" s="75"/>
      <c r="L46" s="76"/>
      <c r="M46" s="76"/>
      <c r="N46" s="75"/>
      <c r="O46" s="76"/>
      <c r="P46" s="76"/>
      <c r="Q46" s="76"/>
      <c r="R46" s="75"/>
      <c r="S46" s="76"/>
      <c r="T46" s="77"/>
      <c r="U46" s="76"/>
      <c r="V46" s="77"/>
      <c r="W46" s="76"/>
      <c r="X46" s="78"/>
    </row>
    <row r="47" spans="1:25" s="50" customFormat="1" ht="39" customHeight="1" x14ac:dyDescent="0.2">
      <c r="A47" s="79" t="s">
        <v>47</v>
      </c>
      <c r="B47" s="195" t="s">
        <v>48</v>
      </c>
      <c r="C47" s="196"/>
      <c r="D47" s="80" t="s">
        <v>73</v>
      </c>
      <c r="E47" s="81" t="s">
        <v>58</v>
      </c>
      <c r="F47" s="195" t="s">
        <v>74</v>
      </c>
      <c r="G47" s="197"/>
      <c r="H47" s="197"/>
      <c r="I47" s="197"/>
      <c r="J47" s="196"/>
      <c r="K47" s="82">
        <f>SUM(K48:K51)</f>
        <v>15855624</v>
      </c>
      <c r="L47" s="82">
        <f t="shared" ref="L47:S47" si="14">SUM(L48:L51)</f>
        <v>5183891.91</v>
      </c>
      <c r="M47" s="82">
        <f t="shared" si="14"/>
        <v>0</v>
      </c>
      <c r="N47" s="82">
        <f t="shared" si="14"/>
        <v>21039515.91</v>
      </c>
      <c r="O47" s="82">
        <f t="shared" si="14"/>
        <v>0</v>
      </c>
      <c r="P47" s="82">
        <f t="shared" si="14"/>
        <v>0</v>
      </c>
      <c r="Q47" s="82">
        <f t="shared" si="14"/>
        <v>0</v>
      </c>
      <c r="R47" s="82">
        <f t="shared" si="14"/>
        <v>21039515.91</v>
      </c>
      <c r="S47" s="82">
        <f t="shared" si="14"/>
        <v>17304663.23</v>
      </c>
      <c r="T47" s="83">
        <f>S47/R47</f>
        <v>0.82248390618983591</v>
      </c>
      <c r="U47" s="82">
        <f>SUM(U48:U51)</f>
        <v>17123372.699999999</v>
      </c>
      <c r="V47" s="83">
        <f>U47/R47</f>
        <v>0.81386723787980919</v>
      </c>
      <c r="W47" s="82">
        <f>SUM(W48:W51)</f>
        <v>16874379.68</v>
      </c>
      <c r="X47" s="84">
        <f>W47/R47</f>
        <v>0.80203269657833109</v>
      </c>
      <c r="Y47" s="49"/>
    </row>
    <row r="48" spans="1:25" s="65" customFormat="1" ht="39" customHeight="1" x14ac:dyDescent="0.2">
      <c r="A48" s="51" t="s">
        <v>47</v>
      </c>
      <c r="B48" s="52" t="s">
        <v>48</v>
      </c>
      <c r="C48" s="53" t="s">
        <v>60</v>
      </c>
      <c r="D48" s="54" t="s">
        <v>73</v>
      </c>
      <c r="E48" s="55" t="s">
        <v>58</v>
      </c>
      <c r="F48" s="56" t="s">
        <v>74</v>
      </c>
      <c r="G48" s="57">
        <v>1</v>
      </c>
      <c r="H48" s="53" t="s">
        <v>53</v>
      </c>
      <c r="I48" s="58" t="s">
        <v>54</v>
      </c>
      <c r="J48" s="59">
        <v>1</v>
      </c>
      <c r="K48" s="60">
        <f>13393069+116090+2296465</f>
        <v>15805624</v>
      </c>
      <c r="L48" s="61">
        <f>1418385+2926000</f>
        <v>4344385</v>
      </c>
      <c r="M48" s="61">
        <v>0</v>
      </c>
      <c r="N48" s="60">
        <f t="shared" si="1"/>
        <v>20150009</v>
      </c>
      <c r="O48" s="61">
        <v>0</v>
      </c>
      <c r="P48" s="61">
        <v>0</v>
      </c>
      <c r="Q48" s="61">
        <v>0</v>
      </c>
      <c r="R48" s="60">
        <f t="shared" si="2"/>
        <v>20150009</v>
      </c>
      <c r="S48" s="61">
        <f>1479413.27+1484530.14+1444718+1494041.3+1480710.86+1562326.58+1613480.77+1652931.86+1586943.3+1567958.07+1531337.12</f>
        <v>16898391.27</v>
      </c>
      <c r="T48" s="62">
        <f>S48/R48</f>
        <v>0.83862946512827863</v>
      </c>
      <c r="U48" s="61">
        <f>1479413.27+1484530.14+1444718+1494041.3+1480710.86+1562326.58+1613480.77+1652931.86+1586943.3+1567958.07+1531337.12</f>
        <v>16898391.27</v>
      </c>
      <c r="V48" s="62">
        <f t="shared" si="3"/>
        <v>0.83862946512827863</v>
      </c>
      <c r="W48" s="61">
        <f>1287917.5+1484530.14+1444718+1494041.3+1480710.86+1562326.58+1609482.63+1656930+1586943.3+1567958.07+1473839.87</f>
        <v>16649398.25</v>
      </c>
      <c r="X48" s="63">
        <f t="shared" si="4"/>
        <v>0.82627249695024951</v>
      </c>
      <c r="Y48" s="64"/>
    </row>
    <row r="49" spans="1:25" s="65" customFormat="1" ht="39" customHeight="1" x14ac:dyDescent="0.2">
      <c r="A49" s="51" t="s">
        <v>47</v>
      </c>
      <c r="B49" s="52" t="s">
        <v>48</v>
      </c>
      <c r="C49" s="53" t="s">
        <v>60</v>
      </c>
      <c r="D49" s="54" t="s">
        <v>73</v>
      </c>
      <c r="E49" s="55" t="s">
        <v>58</v>
      </c>
      <c r="F49" s="56" t="s">
        <v>74</v>
      </c>
      <c r="G49" s="57">
        <v>1</v>
      </c>
      <c r="H49" s="53" t="s">
        <v>53</v>
      </c>
      <c r="I49" s="58" t="s">
        <v>54</v>
      </c>
      <c r="J49" s="59">
        <v>3</v>
      </c>
      <c r="K49" s="60">
        <v>50000</v>
      </c>
      <c r="L49" s="61">
        <f>70000</f>
        <v>70000</v>
      </c>
      <c r="M49" s="61">
        <v>0</v>
      </c>
      <c r="N49" s="60">
        <f t="shared" si="1"/>
        <v>120000</v>
      </c>
      <c r="O49" s="61">
        <v>0</v>
      </c>
      <c r="P49" s="61">
        <v>0</v>
      </c>
      <c r="Q49" s="61">
        <v>0</v>
      </c>
      <c r="R49" s="60">
        <f t="shared" si="2"/>
        <v>120000</v>
      </c>
      <c r="S49" s="61">
        <f>47282.96</f>
        <v>47282.96</v>
      </c>
      <c r="T49" s="62">
        <f>S49/R49</f>
        <v>0.39402466666666663</v>
      </c>
      <c r="U49" s="61">
        <f>47282.96</f>
        <v>47282.96</v>
      </c>
      <c r="V49" s="62">
        <f t="shared" si="3"/>
        <v>0.39402466666666663</v>
      </c>
      <c r="W49" s="61">
        <f>47282.96</f>
        <v>47282.96</v>
      </c>
      <c r="X49" s="63">
        <f t="shared" si="4"/>
        <v>0.39402466666666663</v>
      </c>
      <c r="Y49" s="64"/>
    </row>
    <row r="50" spans="1:25" s="65" customFormat="1" ht="39" customHeight="1" x14ac:dyDescent="0.2">
      <c r="A50" s="51" t="s">
        <v>47</v>
      </c>
      <c r="B50" s="52" t="s">
        <v>48</v>
      </c>
      <c r="C50" s="53" t="s">
        <v>60</v>
      </c>
      <c r="D50" s="54" t="s">
        <v>73</v>
      </c>
      <c r="E50" s="55" t="s">
        <v>58</v>
      </c>
      <c r="F50" s="56" t="s">
        <v>74</v>
      </c>
      <c r="G50" s="57">
        <v>1</v>
      </c>
      <c r="H50" s="85" t="s">
        <v>63</v>
      </c>
      <c r="I50" s="86" t="s">
        <v>64</v>
      </c>
      <c r="J50" s="59">
        <v>1</v>
      </c>
      <c r="K50" s="60">
        <v>0</v>
      </c>
      <c r="L50" s="61">
        <f>200000+460308.91</f>
        <v>660308.90999999992</v>
      </c>
      <c r="M50" s="61">
        <v>0</v>
      </c>
      <c r="N50" s="60">
        <f t="shared" si="1"/>
        <v>660308.90999999992</v>
      </c>
      <c r="O50" s="61">
        <f>200000-50000-1000-45000-104000</f>
        <v>0</v>
      </c>
      <c r="P50" s="61">
        <v>0</v>
      </c>
      <c r="Q50" s="61">
        <v>0</v>
      </c>
      <c r="R50" s="60">
        <f t="shared" si="2"/>
        <v>660308.90999999992</v>
      </c>
      <c r="S50" s="61">
        <f>41489.32+3031.72+5514.03+41372+243940.45</f>
        <v>335347.52</v>
      </c>
      <c r="T50" s="62">
        <f>S50/R50</f>
        <v>0.50786459931307004</v>
      </c>
      <c r="U50" s="61">
        <f>41489.32+3031.72+5514.03+104021.92</f>
        <v>154056.99</v>
      </c>
      <c r="V50" s="62">
        <f t="shared" si="3"/>
        <v>0.23331048190762715</v>
      </c>
      <c r="W50" s="61">
        <f>41489.32+1515.89+1515.83+5514.03+104021.92</f>
        <v>154056.99</v>
      </c>
      <c r="X50" s="63">
        <f t="shared" si="4"/>
        <v>0.23331048190762715</v>
      </c>
      <c r="Y50" s="64"/>
    </row>
    <row r="51" spans="1:25" s="65" customFormat="1" ht="39" customHeight="1" x14ac:dyDescent="0.2">
      <c r="A51" s="51" t="s">
        <v>47</v>
      </c>
      <c r="B51" s="52" t="s">
        <v>48</v>
      </c>
      <c r="C51" s="53" t="s">
        <v>60</v>
      </c>
      <c r="D51" s="54" t="s">
        <v>73</v>
      </c>
      <c r="E51" s="55" t="s">
        <v>58</v>
      </c>
      <c r="F51" s="56" t="s">
        <v>74</v>
      </c>
      <c r="G51" s="57">
        <v>1</v>
      </c>
      <c r="H51" s="85" t="s">
        <v>63</v>
      </c>
      <c r="I51" s="86" t="s">
        <v>64</v>
      </c>
      <c r="J51" s="59">
        <v>3</v>
      </c>
      <c r="K51" s="60">
        <v>0</v>
      </c>
      <c r="L51" s="61">
        <f>109198</f>
        <v>109198</v>
      </c>
      <c r="M51" s="61">
        <v>0</v>
      </c>
      <c r="N51" s="60">
        <f t="shared" si="1"/>
        <v>109198</v>
      </c>
      <c r="O51" s="61">
        <v>0</v>
      </c>
      <c r="P51" s="61">
        <v>0</v>
      </c>
      <c r="Q51" s="61">
        <v>0</v>
      </c>
      <c r="R51" s="60">
        <f t="shared" si="2"/>
        <v>109198</v>
      </c>
      <c r="S51" s="61">
        <f>23641.48</f>
        <v>23641.48</v>
      </c>
      <c r="T51" s="62">
        <f>S51/R51</f>
        <v>0.2165010348174875</v>
      </c>
      <c r="U51" s="61">
        <f>23641.48</f>
        <v>23641.48</v>
      </c>
      <c r="V51" s="62">
        <f t="shared" si="3"/>
        <v>0.2165010348174875</v>
      </c>
      <c r="W51" s="61">
        <f>23641.48</f>
        <v>23641.48</v>
      </c>
      <c r="X51" s="63">
        <f t="shared" si="4"/>
        <v>0.2165010348174875</v>
      </c>
      <c r="Y51" s="64"/>
    </row>
    <row r="52" spans="1:25" s="42" customFormat="1" ht="9" customHeight="1" x14ac:dyDescent="0.2">
      <c r="A52" s="66"/>
      <c r="B52" s="67"/>
      <c r="C52" s="68"/>
      <c r="D52" s="69"/>
      <c r="E52" s="70"/>
      <c r="F52" s="71"/>
      <c r="G52" s="72"/>
      <c r="H52" s="68"/>
      <c r="I52" s="73"/>
      <c r="J52" s="74"/>
      <c r="K52" s="75"/>
      <c r="L52" s="76"/>
      <c r="M52" s="76"/>
      <c r="N52" s="75"/>
      <c r="O52" s="76"/>
      <c r="P52" s="76"/>
      <c r="Q52" s="76"/>
      <c r="R52" s="75"/>
      <c r="S52" s="76"/>
      <c r="T52" s="77"/>
      <c r="U52" s="76"/>
      <c r="V52" s="77"/>
      <c r="W52" s="76"/>
      <c r="X52" s="78"/>
    </row>
    <row r="53" spans="1:25" s="50" customFormat="1" ht="39" customHeight="1" x14ac:dyDescent="0.2">
      <c r="A53" s="79" t="s">
        <v>47</v>
      </c>
      <c r="B53" s="195" t="s">
        <v>48</v>
      </c>
      <c r="C53" s="196"/>
      <c r="D53" s="80" t="s">
        <v>75</v>
      </c>
      <c r="E53" s="81" t="s">
        <v>58</v>
      </c>
      <c r="F53" s="195" t="s">
        <v>76</v>
      </c>
      <c r="G53" s="197"/>
      <c r="H53" s="197"/>
      <c r="I53" s="197"/>
      <c r="J53" s="196"/>
      <c r="K53" s="82">
        <f>SUM(K54:K55)</f>
        <v>3951697</v>
      </c>
      <c r="L53" s="82">
        <f t="shared" ref="L53:S53" si="15">SUM(L54:L55)</f>
        <v>0</v>
      </c>
      <c r="M53" s="82">
        <f t="shared" si="15"/>
        <v>1498930</v>
      </c>
      <c r="N53" s="82">
        <f t="shared" si="15"/>
        <v>2452767</v>
      </c>
      <c r="O53" s="82">
        <f t="shared" si="15"/>
        <v>0</v>
      </c>
      <c r="P53" s="82">
        <f t="shared" si="15"/>
        <v>0</v>
      </c>
      <c r="Q53" s="82">
        <f t="shared" si="15"/>
        <v>0</v>
      </c>
      <c r="R53" s="82">
        <f t="shared" si="15"/>
        <v>2452767</v>
      </c>
      <c r="S53" s="82">
        <f t="shared" si="15"/>
        <v>2017101.53</v>
      </c>
      <c r="T53" s="83">
        <f>S53/R53</f>
        <v>0.82237796333691704</v>
      </c>
      <c r="U53" s="82">
        <f>SUM(U54:U55)</f>
        <v>2017101.53</v>
      </c>
      <c r="V53" s="83">
        <f>U53/R53</f>
        <v>0.82237796333691704</v>
      </c>
      <c r="W53" s="82">
        <f>SUM(W54:W55)</f>
        <v>2017101.53</v>
      </c>
      <c r="X53" s="84">
        <f>W53/R53</f>
        <v>0.82237796333691704</v>
      </c>
      <c r="Y53" s="49"/>
    </row>
    <row r="54" spans="1:25" s="65" customFormat="1" ht="39" customHeight="1" x14ac:dyDescent="0.2">
      <c r="A54" s="51" t="s">
        <v>47</v>
      </c>
      <c r="B54" s="52" t="s">
        <v>48</v>
      </c>
      <c r="C54" s="53" t="s">
        <v>60</v>
      </c>
      <c r="D54" s="54" t="s">
        <v>75</v>
      </c>
      <c r="E54" s="55" t="s">
        <v>58</v>
      </c>
      <c r="F54" s="56" t="s">
        <v>76</v>
      </c>
      <c r="G54" s="57">
        <v>1</v>
      </c>
      <c r="H54" s="53" t="s">
        <v>53</v>
      </c>
      <c r="I54" s="58" t="s">
        <v>54</v>
      </c>
      <c r="J54" s="59">
        <v>1</v>
      </c>
      <c r="K54" s="60">
        <f>3157140+204821+27306+545930</f>
        <v>3935197</v>
      </c>
      <c r="L54" s="61">
        <v>0</v>
      </c>
      <c r="M54" s="61">
        <f>1498930</f>
        <v>1498930</v>
      </c>
      <c r="N54" s="60">
        <f t="shared" si="1"/>
        <v>2436267</v>
      </c>
      <c r="O54" s="61">
        <v>0</v>
      </c>
      <c r="P54" s="61">
        <v>0</v>
      </c>
      <c r="Q54" s="61">
        <v>0</v>
      </c>
      <c r="R54" s="60">
        <f t="shared" si="2"/>
        <v>2436267</v>
      </c>
      <c r="S54" s="61">
        <f>192829.53+192783.89+190767.06+182686.48+180606.07+202483.65+180618.55+181572+161869.97+175868.28+175016.05</f>
        <v>2017101.53</v>
      </c>
      <c r="T54" s="62">
        <f>S54/R54</f>
        <v>0.82794764695331013</v>
      </c>
      <c r="U54" s="61">
        <f>192829.53+192783.89+190767.06+182686.48+180606.07+202483.65+180618.55+181572+161869.97+175868.28+175016.05</f>
        <v>2017101.53</v>
      </c>
      <c r="V54" s="62">
        <f t="shared" si="3"/>
        <v>0.82794764695331013</v>
      </c>
      <c r="W54" s="61">
        <f>192829.53+192783.89+190767.06+182686.48+180606.07+202483.65+180618.55+181572+161869.97+175868.28+175016.05</f>
        <v>2017101.53</v>
      </c>
      <c r="X54" s="63">
        <f t="shared" si="4"/>
        <v>0.82794764695331013</v>
      </c>
      <c r="Y54" s="64"/>
    </row>
    <row r="55" spans="1:25" s="65" customFormat="1" ht="39" customHeight="1" x14ac:dyDescent="0.2">
      <c r="A55" s="51" t="s">
        <v>47</v>
      </c>
      <c r="B55" s="52" t="s">
        <v>48</v>
      </c>
      <c r="C55" s="53" t="s">
        <v>60</v>
      </c>
      <c r="D55" s="54" t="s">
        <v>75</v>
      </c>
      <c r="E55" s="55" t="s">
        <v>58</v>
      </c>
      <c r="F55" s="56" t="s">
        <v>76</v>
      </c>
      <c r="G55" s="57">
        <v>1</v>
      </c>
      <c r="H55" s="53" t="s">
        <v>53</v>
      </c>
      <c r="I55" s="58" t="s">
        <v>54</v>
      </c>
      <c r="J55" s="59">
        <v>3</v>
      </c>
      <c r="K55" s="60">
        <f>6000+10500</f>
        <v>16500</v>
      </c>
      <c r="L55" s="61">
        <v>0</v>
      </c>
      <c r="M55" s="61">
        <v>0</v>
      </c>
      <c r="N55" s="60">
        <f t="shared" si="1"/>
        <v>16500</v>
      </c>
      <c r="O55" s="61">
        <v>0</v>
      </c>
      <c r="P55" s="61">
        <v>0</v>
      </c>
      <c r="Q55" s="61">
        <v>0</v>
      </c>
      <c r="R55" s="60">
        <f t="shared" si="2"/>
        <v>16500</v>
      </c>
      <c r="S55" s="61">
        <v>0</v>
      </c>
      <c r="T55" s="62">
        <f>S55/R55</f>
        <v>0</v>
      </c>
      <c r="U55" s="61">
        <v>0</v>
      </c>
      <c r="V55" s="62">
        <f t="shared" si="3"/>
        <v>0</v>
      </c>
      <c r="W55" s="61">
        <v>0</v>
      </c>
      <c r="X55" s="63">
        <f t="shared" si="4"/>
        <v>0</v>
      </c>
      <c r="Y55" s="64"/>
    </row>
    <row r="56" spans="1:25" s="42" customFormat="1" ht="9" customHeight="1" x14ac:dyDescent="0.2">
      <c r="A56" s="66"/>
      <c r="B56" s="67"/>
      <c r="C56" s="68"/>
      <c r="D56" s="69"/>
      <c r="E56" s="70"/>
      <c r="F56" s="71"/>
      <c r="G56" s="72"/>
      <c r="H56" s="68"/>
      <c r="I56" s="73"/>
      <c r="J56" s="74"/>
      <c r="K56" s="75"/>
      <c r="L56" s="76"/>
      <c r="M56" s="76"/>
      <c r="N56" s="75"/>
      <c r="O56" s="76"/>
      <c r="P56" s="76"/>
      <c r="Q56" s="76"/>
      <c r="R56" s="75"/>
      <c r="S56" s="76"/>
      <c r="T56" s="77"/>
      <c r="U56" s="76"/>
      <c r="V56" s="77"/>
      <c r="W56" s="76"/>
      <c r="X56" s="78"/>
    </row>
    <row r="57" spans="1:25" s="50" customFormat="1" ht="39" customHeight="1" x14ac:dyDescent="0.2">
      <c r="A57" s="79" t="s">
        <v>47</v>
      </c>
      <c r="B57" s="195" t="s">
        <v>48</v>
      </c>
      <c r="C57" s="196"/>
      <c r="D57" s="80" t="s">
        <v>77</v>
      </c>
      <c r="E57" s="81" t="s">
        <v>58</v>
      </c>
      <c r="F57" s="195" t="s">
        <v>78</v>
      </c>
      <c r="G57" s="197"/>
      <c r="H57" s="197"/>
      <c r="I57" s="197"/>
      <c r="J57" s="196"/>
      <c r="K57" s="82">
        <f>SUM(K58:K59)</f>
        <v>9939895</v>
      </c>
      <c r="L57" s="82">
        <f t="shared" ref="L57:U57" si="16">SUM(L58:L59)</f>
        <v>750000</v>
      </c>
      <c r="M57" s="82">
        <f t="shared" si="16"/>
        <v>0</v>
      </c>
      <c r="N57" s="82">
        <f t="shared" si="16"/>
        <v>10689895</v>
      </c>
      <c r="O57" s="82">
        <f t="shared" si="16"/>
        <v>0</v>
      </c>
      <c r="P57" s="82">
        <f t="shared" si="16"/>
        <v>0</v>
      </c>
      <c r="Q57" s="82">
        <f t="shared" si="16"/>
        <v>-9799977.0800000001</v>
      </c>
      <c r="R57" s="82">
        <f t="shared" si="16"/>
        <v>889917.91999999993</v>
      </c>
      <c r="S57" s="82">
        <f t="shared" si="16"/>
        <v>0</v>
      </c>
      <c r="T57" s="83">
        <f>S57/R57</f>
        <v>0</v>
      </c>
      <c r="U57" s="82">
        <f t="shared" si="16"/>
        <v>0</v>
      </c>
      <c r="V57" s="83">
        <f>U57/R57</f>
        <v>0</v>
      </c>
      <c r="W57" s="82">
        <f>SUM(W58:W59)</f>
        <v>0</v>
      </c>
      <c r="X57" s="84">
        <f>W57/R57</f>
        <v>0</v>
      </c>
      <c r="Y57" s="49"/>
    </row>
    <row r="58" spans="1:25" s="65" customFormat="1" ht="39" customHeight="1" x14ac:dyDescent="0.2">
      <c r="A58" s="51" t="s">
        <v>47</v>
      </c>
      <c r="B58" s="52" t="s">
        <v>48</v>
      </c>
      <c r="C58" s="53" t="s">
        <v>60</v>
      </c>
      <c r="D58" s="54" t="s">
        <v>77</v>
      </c>
      <c r="E58" s="55" t="s">
        <v>58</v>
      </c>
      <c r="F58" s="56" t="s">
        <v>78</v>
      </c>
      <c r="G58" s="57">
        <v>1</v>
      </c>
      <c r="H58" s="53" t="s">
        <v>53</v>
      </c>
      <c r="I58" s="58" t="s">
        <v>54</v>
      </c>
      <c r="J58" s="59">
        <v>3</v>
      </c>
      <c r="K58" s="60">
        <f>9939895</f>
        <v>9939895</v>
      </c>
      <c r="L58" s="61">
        <v>0</v>
      </c>
      <c r="M58" s="61">
        <v>0</v>
      </c>
      <c r="N58" s="60">
        <f t="shared" si="1"/>
        <v>9939895</v>
      </c>
      <c r="O58" s="61">
        <v>0</v>
      </c>
      <c r="P58" s="61">
        <v>0</v>
      </c>
      <c r="Q58" s="61">
        <f>-1133426.18-947104.62-816866.98-820121.92-1796049.13-745812.36-930972.28-847964.71-871891.57-889767.33</f>
        <v>-9799977.0800000001</v>
      </c>
      <c r="R58" s="60">
        <f t="shared" si="2"/>
        <v>139917.91999999993</v>
      </c>
      <c r="S58" s="61">
        <v>0</v>
      </c>
      <c r="T58" s="62">
        <f>S58/R58</f>
        <v>0</v>
      </c>
      <c r="U58" s="61">
        <v>0</v>
      </c>
      <c r="V58" s="62">
        <f t="shared" si="3"/>
        <v>0</v>
      </c>
      <c r="W58" s="61">
        <v>0</v>
      </c>
      <c r="X58" s="63">
        <f t="shared" si="4"/>
        <v>0</v>
      </c>
      <c r="Y58" s="64"/>
    </row>
    <row r="59" spans="1:25" s="65" customFormat="1" ht="39" customHeight="1" x14ac:dyDescent="0.2">
      <c r="A59" s="51" t="s">
        <v>47</v>
      </c>
      <c r="B59" s="52" t="s">
        <v>48</v>
      </c>
      <c r="C59" s="53" t="s">
        <v>60</v>
      </c>
      <c r="D59" s="54" t="s">
        <v>77</v>
      </c>
      <c r="E59" s="55" t="s">
        <v>58</v>
      </c>
      <c r="F59" s="56" t="s">
        <v>78</v>
      </c>
      <c r="G59" s="57">
        <v>1</v>
      </c>
      <c r="H59" s="85" t="s">
        <v>63</v>
      </c>
      <c r="I59" s="86" t="s">
        <v>64</v>
      </c>
      <c r="J59" s="59">
        <v>3</v>
      </c>
      <c r="K59" s="60">
        <v>0</v>
      </c>
      <c r="L59" s="61">
        <f>750000</f>
        <v>750000</v>
      </c>
      <c r="M59" s="61">
        <v>0</v>
      </c>
      <c r="N59" s="60">
        <f t="shared" si="1"/>
        <v>750000</v>
      </c>
      <c r="O59" s="61">
        <v>0</v>
      </c>
      <c r="P59" s="61">
        <v>0</v>
      </c>
      <c r="Q59" s="61">
        <v>0</v>
      </c>
      <c r="R59" s="60">
        <f t="shared" si="2"/>
        <v>750000</v>
      </c>
      <c r="S59" s="61">
        <v>0</v>
      </c>
      <c r="T59" s="62">
        <f>S59/R59</f>
        <v>0</v>
      </c>
      <c r="U59" s="61">
        <v>0</v>
      </c>
      <c r="V59" s="62">
        <f t="shared" si="3"/>
        <v>0</v>
      </c>
      <c r="W59" s="61">
        <v>0</v>
      </c>
      <c r="X59" s="63">
        <f t="shared" si="4"/>
        <v>0</v>
      </c>
      <c r="Y59" s="64"/>
    </row>
    <row r="60" spans="1:25" s="42" customFormat="1" ht="9" customHeight="1" x14ac:dyDescent="0.2">
      <c r="A60" s="66"/>
      <c r="B60" s="67"/>
      <c r="C60" s="68"/>
      <c r="D60" s="69"/>
      <c r="E60" s="70"/>
      <c r="F60" s="71"/>
      <c r="G60" s="72"/>
      <c r="H60" s="68"/>
      <c r="I60" s="73"/>
      <c r="J60" s="74"/>
      <c r="K60" s="75"/>
      <c r="L60" s="76"/>
      <c r="M60" s="76"/>
      <c r="N60" s="75"/>
      <c r="O60" s="76"/>
      <c r="P60" s="76"/>
      <c r="Q60" s="76"/>
      <c r="R60" s="75"/>
      <c r="S60" s="76"/>
      <c r="T60" s="77"/>
      <c r="U60" s="76"/>
      <c r="V60" s="77"/>
      <c r="W60" s="76"/>
      <c r="X60" s="78"/>
    </row>
    <row r="61" spans="1:25" s="50" customFormat="1" ht="39" customHeight="1" x14ac:dyDescent="0.2">
      <c r="A61" s="79" t="s">
        <v>47</v>
      </c>
      <c r="B61" s="195" t="s">
        <v>48</v>
      </c>
      <c r="C61" s="196"/>
      <c r="D61" s="80" t="s">
        <v>79</v>
      </c>
      <c r="E61" s="81" t="s">
        <v>58</v>
      </c>
      <c r="F61" s="195" t="s">
        <v>80</v>
      </c>
      <c r="G61" s="197"/>
      <c r="H61" s="197"/>
      <c r="I61" s="197"/>
      <c r="J61" s="196"/>
      <c r="K61" s="82">
        <f>SUM(K62:K64)</f>
        <v>15234245</v>
      </c>
      <c r="L61" s="82">
        <f t="shared" ref="L61:W61" si="17">SUM(L62:L64)</f>
        <v>3161000</v>
      </c>
      <c r="M61" s="82">
        <f t="shared" si="17"/>
        <v>0</v>
      </c>
      <c r="N61" s="82">
        <f t="shared" si="17"/>
        <v>18395245</v>
      </c>
      <c r="O61" s="82">
        <f t="shared" si="17"/>
        <v>0</v>
      </c>
      <c r="P61" s="82">
        <f t="shared" si="17"/>
        <v>0</v>
      </c>
      <c r="Q61" s="82">
        <f t="shared" si="17"/>
        <v>0</v>
      </c>
      <c r="R61" s="82">
        <f t="shared" si="17"/>
        <v>18395245</v>
      </c>
      <c r="S61" s="82">
        <f t="shared" si="17"/>
        <v>15532758.340000002</v>
      </c>
      <c r="T61" s="83">
        <f>S61/R61</f>
        <v>0.8443898594446555</v>
      </c>
      <c r="U61" s="82">
        <f t="shared" si="17"/>
        <v>15532254.319999998</v>
      </c>
      <c r="V61" s="83">
        <f>U61/R61</f>
        <v>0.84436245997267223</v>
      </c>
      <c r="W61" s="82">
        <f t="shared" si="17"/>
        <v>14026116.419999998</v>
      </c>
      <c r="X61" s="84">
        <f>W61/R61</f>
        <v>0.7624859804802816</v>
      </c>
      <c r="Y61" s="49"/>
    </row>
    <row r="62" spans="1:25" s="65" customFormat="1" ht="39" customHeight="1" x14ac:dyDescent="0.2">
      <c r="A62" s="51" t="s">
        <v>47</v>
      </c>
      <c r="B62" s="52" t="s">
        <v>48</v>
      </c>
      <c r="C62" s="53" t="s">
        <v>60</v>
      </c>
      <c r="D62" s="54" t="s">
        <v>79</v>
      </c>
      <c r="E62" s="55" t="s">
        <v>58</v>
      </c>
      <c r="F62" s="56" t="s">
        <v>80</v>
      </c>
      <c r="G62" s="57">
        <v>1</v>
      </c>
      <c r="H62" s="53" t="s">
        <v>53</v>
      </c>
      <c r="I62" s="58" t="s">
        <v>54</v>
      </c>
      <c r="J62" s="59">
        <v>1</v>
      </c>
      <c r="K62" s="60">
        <v>15234245</v>
      </c>
      <c r="L62" s="61">
        <v>0</v>
      </c>
      <c r="M62" s="61">
        <v>0</v>
      </c>
      <c r="N62" s="60">
        <f t="shared" si="1"/>
        <v>15234245</v>
      </c>
      <c r="O62" s="61">
        <v>0</v>
      </c>
      <c r="P62" s="61">
        <v>0</v>
      </c>
      <c r="Q62" s="61">
        <v>0</v>
      </c>
      <c r="R62" s="60">
        <f t="shared" si="2"/>
        <v>15234245</v>
      </c>
      <c r="S62" s="61">
        <f>1437890.2+1331050.96+1360495.83+1387619.52+1383789.34+1390468.85+1395987.15+1406959.99+1406384.72+1525973.88+1207000</f>
        <v>15233620.440000001</v>
      </c>
      <c r="T62" s="62">
        <f>S62/R62</f>
        <v>0.99995900289118378</v>
      </c>
      <c r="U62" s="61">
        <f>1437890.2+1331050.96+1360495.83+1387619.52+1383789.34+1390468.85+1395987.15+1406959.99+1405880.7+1525973.88+1207000</f>
        <v>15233116.419999998</v>
      </c>
      <c r="V62" s="62">
        <f t="shared" si="3"/>
        <v>0.99992591821911736</v>
      </c>
      <c r="W62" s="61">
        <f>1437890.2+1331050.96+1360495.83+1387619.52+1383789.34+1390468.85+1395987.15+1406959.99+1405880.7+1525973.88</f>
        <v>14026116.419999998</v>
      </c>
      <c r="X62" s="63">
        <f t="shared" si="4"/>
        <v>0.92069652417957026</v>
      </c>
      <c r="Y62" s="64"/>
    </row>
    <row r="63" spans="1:25" s="65" customFormat="1" ht="39" customHeight="1" x14ac:dyDescent="0.2">
      <c r="A63" s="51" t="s">
        <v>47</v>
      </c>
      <c r="B63" s="52" t="s">
        <v>48</v>
      </c>
      <c r="C63" s="53" t="s">
        <v>60</v>
      </c>
      <c r="D63" s="54" t="s">
        <v>79</v>
      </c>
      <c r="E63" s="55" t="s">
        <v>58</v>
      </c>
      <c r="F63" s="56" t="s">
        <v>80</v>
      </c>
      <c r="G63" s="57">
        <v>1</v>
      </c>
      <c r="H63" s="85" t="s">
        <v>63</v>
      </c>
      <c r="I63" s="86" t="s">
        <v>64</v>
      </c>
      <c r="J63" s="59">
        <v>1</v>
      </c>
      <c r="K63" s="60">
        <v>0</v>
      </c>
      <c r="L63" s="61">
        <f>2122671</f>
        <v>2122671</v>
      </c>
      <c r="M63" s="61">
        <v>0</v>
      </c>
      <c r="N63" s="60">
        <f t="shared" si="1"/>
        <v>2122671</v>
      </c>
      <c r="O63" s="61">
        <v>0</v>
      </c>
      <c r="P63" s="61">
        <v>0</v>
      </c>
      <c r="Q63" s="61">
        <v>0</v>
      </c>
      <c r="R63" s="60">
        <f t="shared" si="2"/>
        <v>2122671</v>
      </c>
      <c r="S63" s="61">
        <f>299137.9</f>
        <v>299137.90000000002</v>
      </c>
      <c r="T63" s="62">
        <f t="shared" ref="T63:T64" si="18">S63/R63</f>
        <v>0.14092523052324171</v>
      </c>
      <c r="U63" s="61">
        <f>299137.9</f>
        <v>299137.90000000002</v>
      </c>
      <c r="V63" s="62">
        <f t="shared" si="3"/>
        <v>0.14092523052324171</v>
      </c>
      <c r="W63" s="61">
        <v>0</v>
      </c>
      <c r="X63" s="63">
        <f t="shared" si="4"/>
        <v>0</v>
      </c>
      <c r="Y63" s="64"/>
    </row>
    <row r="64" spans="1:25" s="65" customFormat="1" ht="39" customHeight="1" x14ac:dyDescent="0.2">
      <c r="A64" s="51" t="s">
        <v>47</v>
      </c>
      <c r="B64" s="52" t="s">
        <v>48</v>
      </c>
      <c r="C64" s="53" t="s">
        <v>60</v>
      </c>
      <c r="D64" s="54" t="s">
        <v>79</v>
      </c>
      <c r="E64" s="55" t="s">
        <v>58</v>
      </c>
      <c r="F64" s="56" t="s">
        <v>80</v>
      </c>
      <c r="G64" s="57">
        <v>1</v>
      </c>
      <c r="H64" s="87" t="s">
        <v>65</v>
      </c>
      <c r="I64" s="88" t="s">
        <v>66</v>
      </c>
      <c r="J64" s="59">
        <v>1</v>
      </c>
      <c r="K64" s="60">
        <v>0</v>
      </c>
      <c r="L64" s="61">
        <f>1038329</f>
        <v>1038329</v>
      </c>
      <c r="M64" s="61">
        <v>0</v>
      </c>
      <c r="N64" s="60">
        <f t="shared" si="1"/>
        <v>1038329</v>
      </c>
      <c r="O64" s="61">
        <v>0</v>
      </c>
      <c r="P64" s="61">
        <v>0</v>
      </c>
      <c r="Q64" s="61">
        <v>0</v>
      </c>
      <c r="R64" s="60">
        <f t="shared" si="2"/>
        <v>1038329</v>
      </c>
      <c r="S64" s="61">
        <v>0</v>
      </c>
      <c r="T64" s="62">
        <f t="shared" si="18"/>
        <v>0</v>
      </c>
      <c r="U64" s="61">
        <v>0</v>
      </c>
      <c r="V64" s="62">
        <f t="shared" si="3"/>
        <v>0</v>
      </c>
      <c r="W64" s="61">
        <v>0</v>
      </c>
      <c r="X64" s="63">
        <f t="shared" si="4"/>
        <v>0</v>
      </c>
      <c r="Y64" s="64"/>
    </row>
    <row r="65" spans="1:25" s="42" customFormat="1" ht="9" customHeight="1" x14ac:dyDescent="0.2">
      <c r="A65" s="66"/>
      <c r="B65" s="67"/>
      <c r="C65" s="68"/>
      <c r="D65" s="69"/>
      <c r="E65" s="70"/>
      <c r="F65" s="71"/>
      <c r="G65" s="72"/>
      <c r="H65" s="68"/>
      <c r="I65" s="73"/>
      <c r="J65" s="74"/>
      <c r="K65" s="75"/>
      <c r="L65" s="76"/>
      <c r="M65" s="76"/>
      <c r="N65" s="75"/>
      <c r="O65" s="76"/>
      <c r="P65" s="76"/>
      <c r="Q65" s="76"/>
      <c r="R65" s="75"/>
      <c r="S65" s="76"/>
      <c r="T65" s="77"/>
      <c r="U65" s="76"/>
      <c r="V65" s="77"/>
      <c r="W65" s="76"/>
      <c r="X65" s="78"/>
    </row>
    <row r="66" spans="1:25" s="50" customFormat="1" ht="39" customHeight="1" x14ac:dyDescent="0.2">
      <c r="A66" s="79" t="s">
        <v>47</v>
      </c>
      <c r="B66" s="195" t="s">
        <v>48</v>
      </c>
      <c r="C66" s="196"/>
      <c r="D66" s="80" t="s">
        <v>81</v>
      </c>
      <c r="E66" s="81" t="s">
        <v>58</v>
      </c>
      <c r="F66" s="195" t="s">
        <v>82</v>
      </c>
      <c r="G66" s="197"/>
      <c r="H66" s="197"/>
      <c r="I66" s="197"/>
      <c r="J66" s="196"/>
      <c r="K66" s="82">
        <f>K67</f>
        <v>3097696</v>
      </c>
      <c r="L66" s="82">
        <f t="shared" ref="L66:S66" si="19">L67</f>
        <v>0</v>
      </c>
      <c r="M66" s="82">
        <f t="shared" si="19"/>
        <v>1040000</v>
      </c>
      <c r="N66" s="82">
        <f t="shared" si="19"/>
        <v>2057696</v>
      </c>
      <c r="O66" s="82">
        <f t="shared" si="19"/>
        <v>0</v>
      </c>
      <c r="P66" s="82">
        <f t="shared" si="19"/>
        <v>0</v>
      </c>
      <c r="Q66" s="82">
        <f t="shared" si="19"/>
        <v>0</v>
      </c>
      <c r="R66" s="82">
        <f t="shared" si="19"/>
        <v>2057696</v>
      </c>
      <c r="S66" s="82">
        <f t="shared" si="19"/>
        <v>2004419.4</v>
      </c>
      <c r="T66" s="83">
        <f>S66/R66</f>
        <v>0.97410861468360721</v>
      </c>
      <c r="U66" s="82">
        <f>U67</f>
        <v>2004065.47</v>
      </c>
      <c r="V66" s="83">
        <f>U66/R66</f>
        <v>0.97393661162776235</v>
      </c>
      <c r="W66" s="82">
        <f>W67</f>
        <v>2004065.4599999997</v>
      </c>
      <c r="X66" s="84">
        <f>W66/R66</f>
        <v>0.97393660676795779</v>
      </c>
      <c r="Y66" s="49"/>
    </row>
    <row r="67" spans="1:25" s="65" customFormat="1" ht="39" customHeight="1" x14ac:dyDescent="0.2">
      <c r="A67" s="51" t="s">
        <v>47</v>
      </c>
      <c r="B67" s="52" t="s">
        <v>48</v>
      </c>
      <c r="C67" s="53" t="s">
        <v>83</v>
      </c>
      <c r="D67" s="54" t="s">
        <v>81</v>
      </c>
      <c r="E67" s="55" t="s">
        <v>58</v>
      </c>
      <c r="F67" s="56" t="s">
        <v>82</v>
      </c>
      <c r="G67" s="57">
        <v>1</v>
      </c>
      <c r="H67" s="53" t="s">
        <v>53</v>
      </c>
      <c r="I67" s="58" t="s">
        <v>54</v>
      </c>
      <c r="J67" s="59">
        <v>3</v>
      </c>
      <c r="K67" s="60">
        <f>2664771+432925</f>
        <v>3097696</v>
      </c>
      <c r="L67" s="61">
        <v>0</v>
      </c>
      <c r="M67" s="61">
        <f>1040000</f>
        <v>1040000</v>
      </c>
      <c r="N67" s="60">
        <f t="shared" si="1"/>
        <v>2057696</v>
      </c>
      <c r="O67" s="61">
        <v>0</v>
      </c>
      <c r="P67" s="61">
        <v>0</v>
      </c>
      <c r="Q67" s="61">
        <v>0</v>
      </c>
      <c r="R67" s="60">
        <f t="shared" si="2"/>
        <v>2057696</v>
      </c>
      <c r="S67" s="61">
        <f>32478.88+32547.66+532416.72+32416.72+32514.15+32531.11+31894.69+31894.69+956056.05+268397.2+21271.53</f>
        <v>2004419.4</v>
      </c>
      <c r="T67" s="62">
        <f>S67/R67</f>
        <v>0.97410861468360721</v>
      </c>
      <c r="U67" s="61">
        <f>32478.88+32547.66+532268.03+32416.72+32514.15+32531.11+31894.69+31894.69+955850.81+268397.2+21271.53</f>
        <v>2004065.47</v>
      </c>
      <c r="V67" s="62">
        <f t="shared" si="3"/>
        <v>0.97393661162776235</v>
      </c>
      <c r="W67" s="61">
        <f>32478.88+32398.97+532416.72+32416.72+32514.15+32531.11+31894.69+31894.69+955850.81+268397.19+21271.53</f>
        <v>2004065.4599999997</v>
      </c>
      <c r="X67" s="63">
        <f t="shared" si="4"/>
        <v>0.97393660676795779</v>
      </c>
      <c r="Y67" s="64"/>
    </row>
    <row r="68" spans="1:25" s="42" customFormat="1" ht="9" customHeight="1" x14ac:dyDescent="0.2">
      <c r="A68" s="66"/>
      <c r="B68" s="67"/>
      <c r="C68" s="68"/>
      <c r="D68" s="69"/>
      <c r="E68" s="70"/>
      <c r="F68" s="71"/>
      <c r="G68" s="72"/>
      <c r="H68" s="68"/>
      <c r="I68" s="73"/>
      <c r="J68" s="74"/>
      <c r="K68" s="75"/>
      <c r="L68" s="76"/>
      <c r="M68" s="76"/>
      <c r="N68" s="75"/>
      <c r="O68" s="76"/>
      <c r="P68" s="76"/>
      <c r="Q68" s="76"/>
      <c r="R68" s="75"/>
      <c r="S68" s="76"/>
      <c r="T68" s="77"/>
      <c r="U68" s="76"/>
      <c r="V68" s="77"/>
      <c r="W68" s="76"/>
      <c r="X68" s="78"/>
    </row>
    <row r="69" spans="1:25" s="50" customFormat="1" ht="39" customHeight="1" x14ac:dyDescent="0.2">
      <c r="A69" s="79" t="s">
        <v>47</v>
      </c>
      <c r="B69" s="195" t="s">
        <v>48</v>
      </c>
      <c r="C69" s="196"/>
      <c r="D69" s="80" t="s">
        <v>84</v>
      </c>
      <c r="E69" s="81" t="s">
        <v>58</v>
      </c>
      <c r="F69" s="195" t="s">
        <v>85</v>
      </c>
      <c r="G69" s="197"/>
      <c r="H69" s="197"/>
      <c r="I69" s="197"/>
      <c r="J69" s="196"/>
      <c r="K69" s="82">
        <f>K70</f>
        <v>150000</v>
      </c>
      <c r="L69" s="82">
        <f t="shared" ref="L69:S69" si="20">L70</f>
        <v>0</v>
      </c>
      <c r="M69" s="82">
        <f t="shared" si="20"/>
        <v>0</v>
      </c>
      <c r="N69" s="82">
        <f t="shared" si="20"/>
        <v>150000</v>
      </c>
      <c r="O69" s="82">
        <f t="shared" si="20"/>
        <v>0</v>
      </c>
      <c r="P69" s="82">
        <f t="shared" si="20"/>
        <v>0</v>
      </c>
      <c r="Q69" s="82">
        <f t="shared" si="20"/>
        <v>0</v>
      </c>
      <c r="R69" s="82">
        <f t="shared" si="20"/>
        <v>150000</v>
      </c>
      <c r="S69" s="82">
        <f t="shared" si="20"/>
        <v>139619.93</v>
      </c>
      <c r="T69" s="83">
        <f>S69/R69</f>
        <v>0.93079953333333332</v>
      </c>
      <c r="U69" s="82">
        <f>U70</f>
        <v>138001.54999999999</v>
      </c>
      <c r="V69" s="83">
        <f>U69/R69</f>
        <v>0.92001033333333326</v>
      </c>
      <c r="W69" s="82">
        <f>W70</f>
        <v>138001.54999999999</v>
      </c>
      <c r="X69" s="84">
        <f>W69/R69</f>
        <v>0.92001033333333326</v>
      </c>
      <c r="Y69" s="49"/>
    </row>
    <row r="70" spans="1:25" s="65" customFormat="1" ht="39" customHeight="1" x14ac:dyDescent="0.2">
      <c r="A70" s="51" t="s">
        <v>47</v>
      </c>
      <c r="B70" s="52" t="s">
        <v>48</v>
      </c>
      <c r="C70" s="53" t="s">
        <v>83</v>
      </c>
      <c r="D70" s="54" t="s">
        <v>84</v>
      </c>
      <c r="E70" s="55" t="s">
        <v>58</v>
      </c>
      <c r="F70" s="56" t="s">
        <v>85</v>
      </c>
      <c r="G70" s="57">
        <v>1</v>
      </c>
      <c r="H70" s="53" t="s">
        <v>53</v>
      </c>
      <c r="I70" s="58" t="s">
        <v>54</v>
      </c>
      <c r="J70" s="59">
        <v>3</v>
      </c>
      <c r="K70" s="60">
        <v>150000</v>
      </c>
      <c r="L70" s="61">
        <v>0</v>
      </c>
      <c r="M70" s="61">
        <v>0</v>
      </c>
      <c r="N70" s="60">
        <f t="shared" si="1"/>
        <v>150000</v>
      </c>
      <c r="O70" s="61">
        <v>0</v>
      </c>
      <c r="P70" s="61">
        <v>0</v>
      </c>
      <c r="Q70" s="61">
        <v>0</v>
      </c>
      <c r="R70" s="60">
        <f>N70-O70+P70+Q70</f>
        <v>150000</v>
      </c>
      <c r="S70" s="61">
        <f>61500+78119.93</f>
        <v>139619.93</v>
      </c>
      <c r="T70" s="62">
        <f>S70/R70</f>
        <v>0.93079953333333332</v>
      </c>
      <c r="U70" s="61">
        <f>60619.93+77381.62</f>
        <v>138001.54999999999</v>
      </c>
      <c r="V70" s="62">
        <f t="shared" si="3"/>
        <v>0.92001033333333326</v>
      </c>
      <c r="W70" s="61">
        <f>60619.93+77381.62</f>
        <v>138001.54999999999</v>
      </c>
      <c r="X70" s="63">
        <f t="shared" si="4"/>
        <v>0.92001033333333326</v>
      </c>
      <c r="Y70" s="64"/>
    </row>
    <row r="71" spans="1:25" s="42" customFormat="1" ht="9" customHeight="1" x14ac:dyDescent="0.2">
      <c r="A71" s="66"/>
      <c r="B71" s="67"/>
      <c r="C71" s="68"/>
      <c r="D71" s="69"/>
      <c r="E71" s="70"/>
      <c r="F71" s="71"/>
      <c r="G71" s="72"/>
      <c r="H71" s="68"/>
      <c r="I71" s="73"/>
      <c r="J71" s="74"/>
      <c r="K71" s="75"/>
      <c r="L71" s="76"/>
      <c r="M71" s="76"/>
      <c r="N71" s="75"/>
      <c r="O71" s="76"/>
      <c r="P71" s="76"/>
      <c r="Q71" s="76"/>
      <c r="R71" s="75"/>
      <c r="S71" s="76"/>
      <c r="T71" s="77"/>
      <c r="U71" s="76"/>
      <c r="V71" s="77"/>
      <c r="W71" s="76"/>
      <c r="X71" s="78"/>
    </row>
    <row r="72" spans="1:25" s="50" customFormat="1" ht="39" customHeight="1" x14ac:dyDescent="0.2">
      <c r="A72" s="79" t="s">
        <v>47</v>
      </c>
      <c r="B72" s="195" t="s">
        <v>48</v>
      </c>
      <c r="C72" s="196"/>
      <c r="D72" s="80" t="s">
        <v>86</v>
      </c>
      <c r="E72" s="81" t="s">
        <v>58</v>
      </c>
      <c r="F72" s="195" t="s">
        <v>87</v>
      </c>
      <c r="G72" s="197"/>
      <c r="H72" s="197"/>
      <c r="I72" s="197"/>
      <c r="J72" s="196"/>
      <c r="K72" s="82">
        <f>K73</f>
        <v>659085</v>
      </c>
      <c r="L72" s="82">
        <f t="shared" ref="L72:S72" si="21">L73</f>
        <v>0</v>
      </c>
      <c r="M72" s="82">
        <f t="shared" si="21"/>
        <v>0</v>
      </c>
      <c r="N72" s="82">
        <f t="shared" si="21"/>
        <v>659085</v>
      </c>
      <c r="O72" s="82">
        <f t="shared" si="21"/>
        <v>0</v>
      </c>
      <c r="P72" s="82">
        <f t="shared" si="21"/>
        <v>0</v>
      </c>
      <c r="Q72" s="82">
        <f t="shared" si="21"/>
        <v>0</v>
      </c>
      <c r="R72" s="82">
        <f t="shared" si="21"/>
        <v>659085</v>
      </c>
      <c r="S72" s="82">
        <f t="shared" si="21"/>
        <v>641489.66999999993</v>
      </c>
      <c r="T72" s="83">
        <f>S72/R72</f>
        <v>0.97330339789253273</v>
      </c>
      <c r="U72" s="82">
        <f>U73</f>
        <v>641489.66999999993</v>
      </c>
      <c r="V72" s="83">
        <f>U72/R72</f>
        <v>0.97330339789253273</v>
      </c>
      <c r="W72" s="82">
        <f>W73</f>
        <v>641489.66999999993</v>
      </c>
      <c r="X72" s="84">
        <f>W72/R72</f>
        <v>0.97330339789253273</v>
      </c>
      <c r="Y72" s="49"/>
    </row>
    <row r="73" spans="1:25" s="65" customFormat="1" ht="39" customHeight="1" x14ac:dyDescent="0.2">
      <c r="A73" s="51" t="s">
        <v>47</v>
      </c>
      <c r="B73" s="52" t="s">
        <v>48</v>
      </c>
      <c r="C73" s="53" t="s">
        <v>83</v>
      </c>
      <c r="D73" s="54" t="s">
        <v>86</v>
      </c>
      <c r="E73" s="55" t="s">
        <v>58</v>
      </c>
      <c r="F73" s="56" t="s">
        <v>87</v>
      </c>
      <c r="G73" s="57">
        <v>1</v>
      </c>
      <c r="H73" s="53" t="s">
        <v>53</v>
      </c>
      <c r="I73" s="58" t="s">
        <v>54</v>
      </c>
      <c r="J73" s="59">
        <v>3</v>
      </c>
      <c r="K73" s="60">
        <f>587585+71500</f>
        <v>659085</v>
      </c>
      <c r="L73" s="61">
        <v>0</v>
      </c>
      <c r="M73" s="61">
        <v>0</v>
      </c>
      <c r="N73" s="60">
        <f>K73+L73-M73</f>
        <v>659085</v>
      </c>
      <c r="O73" s="61">
        <v>0</v>
      </c>
      <c r="P73" s="61">
        <v>0</v>
      </c>
      <c r="Q73" s="61">
        <v>0</v>
      </c>
      <c r="R73" s="60">
        <f t="shared" si="2"/>
        <v>659085</v>
      </c>
      <c r="S73" s="61">
        <f>4769.15+4843.76+4883.8+4910.52+4920.25+4920.25+4920.25+286420.25+310311.75+5534.2+5055.49</f>
        <v>641489.66999999993</v>
      </c>
      <c r="T73" s="62">
        <f>S73/R73</f>
        <v>0.97330339789253273</v>
      </c>
      <c r="U73" s="61">
        <f>4769.15+4843.76+4883.8+4910.52+4920.25+4920.25+4920.25+285731.75+311000.25+5534.2+5055.49</f>
        <v>641489.66999999993</v>
      </c>
      <c r="V73" s="62">
        <f t="shared" si="3"/>
        <v>0.97330339789253273</v>
      </c>
      <c r="W73" s="61">
        <f>4769.15+4843.76+4883.8+4910.52+4920.25+4920.25+4920.25+285731.75+311000.25+5534.2+5055.49</f>
        <v>641489.66999999993</v>
      </c>
      <c r="X73" s="63">
        <f t="shared" si="4"/>
        <v>0.97330339789253273</v>
      </c>
      <c r="Y73" s="64"/>
    </row>
    <row r="74" spans="1:25" s="42" customFormat="1" ht="9" customHeight="1" x14ac:dyDescent="0.2">
      <c r="A74" s="66"/>
      <c r="B74" s="67"/>
      <c r="C74" s="68"/>
      <c r="D74" s="69"/>
      <c r="E74" s="70"/>
      <c r="F74" s="71"/>
      <c r="G74" s="72"/>
      <c r="H74" s="68"/>
      <c r="I74" s="73"/>
      <c r="J74" s="74"/>
      <c r="K74" s="75"/>
      <c r="L74" s="76"/>
      <c r="M74" s="76"/>
      <c r="N74" s="75"/>
      <c r="O74" s="76"/>
      <c r="P74" s="76"/>
      <c r="Q74" s="76"/>
      <c r="R74" s="75"/>
      <c r="S74" s="76"/>
      <c r="T74" s="77"/>
      <c r="U74" s="76"/>
      <c r="V74" s="77"/>
      <c r="W74" s="76"/>
      <c r="X74" s="78"/>
    </row>
    <row r="75" spans="1:25" s="50" customFormat="1" ht="39" customHeight="1" x14ac:dyDescent="0.2">
      <c r="A75" s="79" t="s">
        <v>47</v>
      </c>
      <c r="B75" s="195" t="s">
        <v>48</v>
      </c>
      <c r="C75" s="196"/>
      <c r="D75" s="80" t="s">
        <v>88</v>
      </c>
      <c r="E75" s="81" t="s">
        <v>58</v>
      </c>
      <c r="F75" s="195" t="s">
        <v>89</v>
      </c>
      <c r="G75" s="197"/>
      <c r="H75" s="197"/>
      <c r="I75" s="197"/>
      <c r="J75" s="196"/>
      <c r="K75" s="82">
        <f>K76</f>
        <v>30380058</v>
      </c>
      <c r="L75" s="82">
        <f t="shared" ref="L75:S75" si="22">L76</f>
        <v>0</v>
      </c>
      <c r="M75" s="82">
        <f t="shared" si="22"/>
        <v>3600000</v>
      </c>
      <c r="N75" s="82">
        <f t="shared" si="22"/>
        <v>26780058</v>
      </c>
      <c r="O75" s="82">
        <f t="shared" si="22"/>
        <v>0</v>
      </c>
      <c r="P75" s="82">
        <f t="shared" si="22"/>
        <v>0</v>
      </c>
      <c r="Q75" s="82">
        <f t="shared" si="22"/>
        <v>0</v>
      </c>
      <c r="R75" s="82">
        <f t="shared" si="22"/>
        <v>26780058</v>
      </c>
      <c r="S75" s="82">
        <f t="shared" si="22"/>
        <v>26032045.799999997</v>
      </c>
      <c r="T75" s="83">
        <f>S75/R75</f>
        <v>0.97206831292150286</v>
      </c>
      <c r="U75" s="82">
        <f>U76</f>
        <v>26029980.719999999</v>
      </c>
      <c r="V75" s="83">
        <f>U75/R75</f>
        <v>0.97199120031778863</v>
      </c>
      <c r="W75" s="82">
        <f>W76</f>
        <v>26029980.719999999</v>
      </c>
      <c r="X75" s="84">
        <f>W75/R75</f>
        <v>0.97199120031778863</v>
      </c>
      <c r="Y75" s="49"/>
    </row>
    <row r="76" spans="1:25" s="65" customFormat="1" ht="39" customHeight="1" x14ac:dyDescent="0.2">
      <c r="A76" s="51" t="s">
        <v>47</v>
      </c>
      <c r="B76" s="52" t="s">
        <v>48</v>
      </c>
      <c r="C76" s="53" t="s">
        <v>90</v>
      </c>
      <c r="D76" s="54" t="s">
        <v>88</v>
      </c>
      <c r="E76" s="55" t="s">
        <v>58</v>
      </c>
      <c r="F76" s="56" t="s">
        <v>89</v>
      </c>
      <c r="G76" s="57">
        <v>1</v>
      </c>
      <c r="H76" s="53" t="s">
        <v>53</v>
      </c>
      <c r="I76" s="58" t="s">
        <v>54</v>
      </c>
      <c r="J76" s="59">
        <v>3</v>
      </c>
      <c r="K76" s="60">
        <v>30380058</v>
      </c>
      <c r="L76" s="61">
        <v>0</v>
      </c>
      <c r="M76" s="61">
        <f>3600000</f>
        <v>3600000</v>
      </c>
      <c r="N76" s="60">
        <f t="shared" ref="N76:N105" si="23">K76+L76-M76</f>
        <v>26780058</v>
      </c>
      <c r="O76" s="61">
        <v>0</v>
      </c>
      <c r="P76" s="61">
        <v>0</v>
      </c>
      <c r="Q76" s="61">
        <v>0</v>
      </c>
      <c r="R76" s="60">
        <f t="shared" si="2"/>
        <v>26780058</v>
      </c>
      <c r="S76" s="61">
        <f>3290242.38+1689108.48+1652431.18+2203159.27+2254881.7+2214253.65+381381.82+2608283.48+2400935.86+2880946.72+4456421.26</f>
        <v>26032045.799999997</v>
      </c>
      <c r="T76" s="62">
        <f>S76/R76</f>
        <v>0.97206831292150286</v>
      </c>
      <c r="U76" s="61">
        <f>3290242.38+1689108.48+1652431.18+2201094.19+2254881.7+2214253.65+381381.82+2608283.48+2400935.86+2880946.72+4456421.26</f>
        <v>26029980.719999999</v>
      </c>
      <c r="V76" s="62">
        <f t="shared" si="3"/>
        <v>0.97199120031778863</v>
      </c>
      <c r="W76" s="61">
        <f>3287782.18+1689503.6+1652431.18+2203159.27+2254881.7+2214253.65+381381.82+2608283.48+2400935.86+2880946.72+4456421.26</f>
        <v>26029980.719999999</v>
      </c>
      <c r="X76" s="63">
        <f t="shared" si="4"/>
        <v>0.97199120031778863</v>
      </c>
      <c r="Y76" s="64"/>
    </row>
    <row r="77" spans="1:25" s="42" customFormat="1" ht="9" customHeight="1" x14ac:dyDescent="0.2">
      <c r="A77" s="66"/>
      <c r="B77" s="67"/>
      <c r="C77" s="68"/>
      <c r="D77" s="69"/>
      <c r="E77" s="70"/>
      <c r="F77" s="71"/>
      <c r="G77" s="72"/>
      <c r="H77" s="68"/>
      <c r="I77" s="73"/>
      <c r="J77" s="74"/>
      <c r="K77" s="75"/>
      <c r="L77" s="76"/>
      <c r="M77" s="76"/>
      <c r="N77" s="75"/>
      <c r="O77" s="76"/>
      <c r="P77" s="76"/>
      <c r="Q77" s="76"/>
      <c r="R77" s="75"/>
      <c r="S77" s="76"/>
      <c r="T77" s="77"/>
      <c r="U77" s="76"/>
      <c r="V77" s="77"/>
      <c r="W77" s="76"/>
      <c r="X77" s="78"/>
    </row>
    <row r="78" spans="1:25" s="50" customFormat="1" ht="39" customHeight="1" x14ac:dyDescent="0.2">
      <c r="A78" s="79" t="s">
        <v>47</v>
      </c>
      <c r="B78" s="195" t="s">
        <v>48</v>
      </c>
      <c r="C78" s="196"/>
      <c r="D78" s="80" t="s">
        <v>91</v>
      </c>
      <c r="E78" s="81" t="s">
        <v>58</v>
      </c>
      <c r="F78" s="195" t="s">
        <v>92</v>
      </c>
      <c r="G78" s="197"/>
      <c r="H78" s="197"/>
      <c r="I78" s="197"/>
      <c r="J78" s="196"/>
      <c r="K78" s="82">
        <f>K79</f>
        <v>4324495</v>
      </c>
      <c r="L78" s="82">
        <f t="shared" ref="L78:S78" si="24">L79</f>
        <v>0</v>
      </c>
      <c r="M78" s="82">
        <f t="shared" si="24"/>
        <v>150000</v>
      </c>
      <c r="N78" s="82">
        <f t="shared" si="24"/>
        <v>4174495</v>
      </c>
      <c r="O78" s="82">
        <f t="shared" si="24"/>
        <v>0</v>
      </c>
      <c r="P78" s="82">
        <f t="shared" si="24"/>
        <v>0</v>
      </c>
      <c r="Q78" s="82">
        <f t="shared" si="24"/>
        <v>0</v>
      </c>
      <c r="R78" s="82">
        <f t="shared" si="24"/>
        <v>4174495</v>
      </c>
      <c r="S78" s="82">
        <f t="shared" si="24"/>
        <v>4007218.6799999997</v>
      </c>
      <c r="T78" s="83">
        <f>S78/R78</f>
        <v>0.95992896865369337</v>
      </c>
      <c r="U78" s="82">
        <f>U79</f>
        <v>4007218.6799999997</v>
      </c>
      <c r="V78" s="83">
        <f>U78/R78</f>
        <v>0.95992896865369337</v>
      </c>
      <c r="W78" s="82">
        <f>W79</f>
        <v>4006760.76</v>
      </c>
      <c r="X78" s="84">
        <f>W78/R78</f>
        <v>0.95981927394810629</v>
      </c>
      <c r="Y78" s="49"/>
    </row>
    <row r="79" spans="1:25" s="65" customFormat="1" ht="39" customHeight="1" x14ac:dyDescent="0.2">
      <c r="A79" s="51" t="s">
        <v>47</v>
      </c>
      <c r="B79" s="52" t="s">
        <v>48</v>
      </c>
      <c r="C79" s="53" t="s">
        <v>90</v>
      </c>
      <c r="D79" s="54" t="s">
        <v>91</v>
      </c>
      <c r="E79" s="55" t="s">
        <v>58</v>
      </c>
      <c r="F79" s="56" t="s">
        <v>92</v>
      </c>
      <c r="G79" s="57">
        <v>1</v>
      </c>
      <c r="H79" s="53" t="s">
        <v>53</v>
      </c>
      <c r="I79" s="58" t="s">
        <v>54</v>
      </c>
      <c r="J79" s="59">
        <v>3</v>
      </c>
      <c r="K79" s="60">
        <v>4324495</v>
      </c>
      <c r="L79" s="61">
        <v>0</v>
      </c>
      <c r="M79" s="61">
        <f>150000</f>
        <v>150000</v>
      </c>
      <c r="N79" s="60">
        <f t="shared" si="23"/>
        <v>4174495</v>
      </c>
      <c r="O79" s="61">
        <v>0</v>
      </c>
      <c r="P79" s="61">
        <v>0</v>
      </c>
      <c r="Q79" s="61">
        <v>0</v>
      </c>
      <c r="R79" s="60">
        <f t="shared" si="2"/>
        <v>4174495</v>
      </c>
      <c r="S79" s="61">
        <f>447054.9+444218.34+453654.57+443072.73+444327.27+451531.96+257317.42+553113.85+37778.4+475149.24</f>
        <v>4007218.6799999997</v>
      </c>
      <c r="T79" s="62">
        <f>S79/R79</f>
        <v>0.95992896865369337</v>
      </c>
      <c r="U79" s="61">
        <f>447054.9+444218.34+453654.57+443072.73+444327.27+451531.96+257317.42+553113.85+37778.4+475149.24</f>
        <v>4007218.6799999997</v>
      </c>
      <c r="V79" s="62">
        <f t="shared" si="3"/>
        <v>0.95992896865369337</v>
      </c>
      <c r="W79" s="61">
        <f>447054.9+444218.34+453654.57+443072.73+444327.27+451531.96+257317.42+553113.85+37778.4+474691.32</f>
        <v>4006760.76</v>
      </c>
      <c r="X79" s="63">
        <f t="shared" si="4"/>
        <v>0.95981927394810629</v>
      </c>
      <c r="Y79" s="64"/>
    </row>
    <row r="80" spans="1:25" s="42" customFormat="1" ht="9" customHeight="1" x14ac:dyDescent="0.2">
      <c r="A80" s="66"/>
      <c r="B80" s="67"/>
      <c r="C80" s="68"/>
      <c r="D80" s="69"/>
      <c r="E80" s="70"/>
      <c r="F80" s="71"/>
      <c r="G80" s="72"/>
      <c r="H80" s="68"/>
      <c r="I80" s="73"/>
      <c r="J80" s="74"/>
      <c r="K80" s="75"/>
      <c r="L80" s="76"/>
      <c r="M80" s="76"/>
      <c r="N80" s="75"/>
      <c r="O80" s="76"/>
      <c r="P80" s="76"/>
      <c r="Q80" s="76"/>
      <c r="R80" s="75"/>
      <c r="S80" s="76"/>
      <c r="T80" s="77"/>
      <c r="U80" s="76"/>
      <c r="V80" s="77"/>
      <c r="W80" s="76"/>
      <c r="X80" s="78"/>
    </row>
    <row r="81" spans="1:25" s="50" customFormat="1" ht="39" customHeight="1" x14ac:dyDescent="0.2">
      <c r="A81" s="79" t="s">
        <v>47</v>
      </c>
      <c r="B81" s="195" t="s">
        <v>48</v>
      </c>
      <c r="C81" s="196"/>
      <c r="D81" s="80" t="s">
        <v>93</v>
      </c>
      <c r="E81" s="81" t="s">
        <v>58</v>
      </c>
      <c r="F81" s="195" t="s">
        <v>94</v>
      </c>
      <c r="G81" s="197"/>
      <c r="H81" s="197"/>
      <c r="I81" s="197"/>
      <c r="J81" s="196"/>
      <c r="K81" s="82">
        <f>K82</f>
        <v>9625375</v>
      </c>
      <c r="L81" s="82">
        <f t="shared" ref="L81:S81" si="25">L82</f>
        <v>0</v>
      </c>
      <c r="M81" s="82">
        <f t="shared" si="25"/>
        <v>0</v>
      </c>
      <c r="N81" s="82">
        <f t="shared" si="25"/>
        <v>9625375</v>
      </c>
      <c r="O81" s="82">
        <f t="shared" si="25"/>
        <v>0</v>
      </c>
      <c r="P81" s="82">
        <f t="shared" si="25"/>
        <v>0</v>
      </c>
      <c r="Q81" s="82">
        <f t="shared" si="25"/>
        <v>0</v>
      </c>
      <c r="R81" s="82">
        <f t="shared" si="25"/>
        <v>9625375</v>
      </c>
      <c r="S81" s="82">
        <f t="shared" si="25"/>
        <v>9625284.120000001</v>
      </c>
      <c r="T81" s="83">
        <f>S81/R81</f>
        <v>0.99999055828993688</v>
      </c>
      <c r="U81" s="82">
        <f>U82</f>
        <v>9625284.120000001</v>
      </c>
      <c r="V81" s="83">
        <f>U81/R81</f>
        <v>0.99999055828993688</v>
      </c>
      <c r="W81" s="82">
        <f>W82</f>
        <v>9625284.120000001</v>
      </c>
      <c r="X81" s="84">
        <f>W81/R81</f>
        <v>0.99999055828993688</v>
      </c>
      <c r="Y81" s="49"/>
    </row>
    <row r="82" spans="1:25" s="65" customFormat="1" ht="39" customHeight="1" x14ac:dyDescent="0.2">
      <c r="A82" s="51" t="s">
        <v>47</v>
      </c>
      <c r="B82" s="52" t="s">
        <v>48</v>
      </c>
      <c r="C82" s="53" t="s">
        <v>90</v>
      </c>
      <c r="D82" s="54" t="s">
        <v>93</v>
      </c>
      <c r="E82" s="55" t="s">
        <v>58</v>
      </c>
      <c r="F82" s="56" t="s">
        <v>94</v>
      </c>
      <c r="G82" s="57">
        <v>1</v>
      </c>
      <c r="H82" s="53" t="s">
        <v>53</v>
      </c>
      <c r="I82" s="58" t="s">
        <v>54</v>
      </c>
      <c r="J82" s="59">
        <v>3</v>
      </c>
      <c r="K82" s="60">
        <v>9625375</v>
      </c>
      <c r="L82" s="61">
        <v>0</v>
      </c>
      <c r="M82" s="61">
        <v>0</v>
      </c>
      <c r="N82" s="60">
        <f t="shared" si="23"/>
        <v>9625375</v>
      </c>
      <c r="O82" s="61">
        <v>0</v>
      </c>
      <c r="P82" s="61">
        <v>0</v>
      </c>
      <c r="Q82" s="61">
        <v>0</v>
      </c>
      <c r="R82" s="60">
        <f t="shared" si="2"/>
        <v>9625375</v>
      </c>
      <c r="S82" s="61">
        <f>1241583.45+1240088.12+1220400.05+1220613.62+1221267.88+1204420.83+1199018.17+1044892+33000</f>
        <v>9625284.120000001</v>
      </c>
      <c r="T82" s="62">
        <f>S82/R82</f>
        <v>0.99999055828993688</v>
      </c>
      <c r="U82" s="61">
        <f>1241583.45+1240088.12+1220400.05+1220613.62+1221267.88+1204420.83+1199018.17+1044892+33000</f>
        <v>9625284.120000001</v>
      </c>
      <c r="V82" s="62">
        <f t="shared" si="3"/>
        <v>0.99999055828993688</v>
      </c>
      <c r="W82" s="61">
        <f>1241583.45+1240088.12+1220400.05+1220613.62+1221267.88+1204420.83+1199018.17+1044892+33000</f>
        <v>9625284.120000001</v>
      </c>
      <c r="X82" s="63">
        <f t="shared" si="4"/>
        <v>0.99999055828993688</v>
      </c>
      <c r="Y82" s="64"/>
    </row>
    <row r="83" spans="1:25" s="42" customFormat="1" ht="9" customHeight="1" x14ac:dyDescent="0.2">
      <c r="A83" s="66"/>
      <c r="B83" s="67"/>
      <c r="C83" s="68"/>
      <c r="D83" s="69"/>
      <c r="E83" s="70"/>
      <c r="F83" s="71"/>
      <c r="G83" s="72"/>
      <c r="H83" s="68"/>
      <c r="I83" s="73"/>
      <c r="J83" s="74"/>
      <c r="K83" s="75"/>
      <c r="L83" s="76"/>
      <c r="M83" s="76"/>
      <c r="N83" s="75"/>
      <c r="O83" s="76"/>
      <c r="P83" s="76"/>
      <c r="Q83" s="76"/>
      <c r="R83" s="75"/>
      <c r="S83" s="76"/>
      <c r="T83" s="77"/>
      <c r="U83" s="76"/>
      <c r="V83" s="77"/>
      <c r="W83" s="76"/>
      <c r="X83" s="78"/>
    </row>
    <row r="84" spans="1:25" s="50" customFormat="1" ht="39" customHeight="1" x14ac:dyDescent="0.2">
      <c r="A84" s="79" t="s">
        <v>47</v>
      </c>
      <c r="B84" s="195" t="s">
        <v>48</v>
      </c>
      <c r="C84" s="196"/>
      <c r="D84" s="80" t="s">
        <v>95</v>
      </c>
      <c r="E84" s="81" t="s">
        <v>58</v>
      </c>
      <c r="F84" s="195" t="s">
        <v>96</v>
      </c>
      <c r="G84" s="197"/>
      <c r="H84" s="197"/>
      <c r="I84" s="197"/>
      <c r="J84" s="196"/>
      <c r="K84" s="82">
        <f>SUM(K85:K87)</f>
        <v>14993010</v>
      </c>
      <c r="L84" s="82">
        <f t="shared" ref="L84:U84" si="26">SUM(L85:L87)</f>
        <v>1250000</v>
      </c>
      <c r="M84" s="82">
        <f t="shared" si="26"/>
        <v>0</v>
      </c>
      <c r="N84" s="82">
        <f t="shared" si="26"/>
        <v>16243010</v>
      </c>
      <c r="O84" s="82">
        <f t="shared" si="26"/>
        <v>0</v>
      </c>
      <c r="P84" s="82">
        <f t="shared" si="26"/>
        <v>0</v>
      </c>
      <c r="Q84" s="82">
        <f t="shared" si="26"/>
        <v>0</v>
      </c>
      <c r="R84" s="82">
        <f t="shared" si="26"/>
        <v>16243010</v>
      </c>
      <c r="S84" s="82">
        <f t="shared" si="26"/>
        <v>14033626.389999999</v>
      </c>
      <c r="T84" s="83">
        <f>S84/R84</f>
        <v>0.86397942191748933</v>
      </c>
      <c r="U84" s="82">
        <f t="shared" si="26"/>
        <v>14033626.389999999</v>
      </c>
      <c r="V84" s="83">
        <f>U84/R84</f>
        <v>0.86397942191748933</v>
      </c>
      <c r="W84" s="82">
        <f>SUM(W85:W87)</f>
        <v>14033626.389999999</v>
      </c>
      <c r="X84" s="84">
        <f>W84/R84</f>
        <v>0.86397942191748933</v>
      </c>
      <c r="Y84" s="49"/>
    </row>
    <row r="85" spans="1:25" s="65" customFormat="1" ht="39" customHeight="1" x14ac:dyDescent="0.2">
      <c r="A85" s="51" t="s">
        <v>47</v>
      </c>
      <c r="B85" s="52" t="s">
        <v>48</v>
      </c>
      <c r="C85" s="53" t="s">
        <v>90</v>
      </c>
      <c r="D85" s="54" t="s">
        <v>95</v>
      </c>
      <c r="E85" s="55" t="s">
        <v>58</v>
      </c>
      <c r="F85" s="56" t="s">
        <v>96</v>
      </c>
      <c r="G85" s="57">
        <v>1</v>
      </c>
      <c r="H85" s="53" t="s">
        <v>53</v>
      </c>
      <c r="I85" s="58" t="s">
        <v>54</v>
      </c>
      <c r="J85" s="59">
        <v>3</v>
      </c>
      <c r="K85" s="60">
        <v>14244506</v>
      </c>
      <c r="L85" s="61">
        <v>0</v>
      </c>
      <c r="M85" s="61">
        <v>0</v>
      </c>
      <c r="N85" s="60">
        <f t="shared" si="23"/>
        <v>14244506</v>
      </c>
      <c r="O85" s="61">
        <v>0</v>
      </c>
      <c r="P85" s="61">
        <v>0</v>
      </c>
      <c r="Q85" s="61">
        <v>0</v>
      </c>
      <c r="R85" s="60">
        <f t="shared" si="2"/>
        <v>14244506</v>
      </c>
      <c r="S85" s="61">
        <f>1203270.84+1246853+1235727.75+1224533+1223415.1+1199768.36+1229726.63+1231436.88+1660908.84+1292864.41+1285121.58</f>
        <v>14033626.389999999</v>
      </c>
      <c r="T85" s="62">
        <f>S85/R85</f>
        <v>0.98519572317916804</v>
      </c>
      <c r="U85" s="61">
        <f>1203270.84+1246853+1235727.75+1224533+1223415.1+1199768.36+1229726.63+1231436.88+1660908.84+1292864.41+1285121.58</f>
        <v>14033626.389999999</v>
      </c>
      <c r="V85" s="62">
        <f t="shared" si="3"/>
        <v>0.98519572317916804</v>
      </c>
      <c r="W85" s="61">
        <f>1203270.84+1246853+1235727.75+1224533+1223415.1+1199768.36+1229726.63+1231436.88+1660908.84+1292864.41+1285121.58</f>
        <v>14033626.389999999</v>
      </c>
      <c r="X85" s="63">
        <f t="shared" si="4"/>
        <v>0.98519572317916804</v>
      </c>
      <c r="Y85" s="64"/>
    </row>
    <row r="86" spans="1:25" s="65" customFormat="1" ht="39" customHeight="1" x14ac:dyDescent="0.2">
      <c r="A86" s="51" t="s">
        <v>47</v>
      </c>
      <c r="B86" s="52" t="s">
        <v>48</v>
      </c>
      <c r="C86" s="53" t="s">
        <v>90</v>
      </c>
      <c r="D86" s="54" t="s">
        <v>95</v>
      </c>
      <c r="E86" s="55" t="s">
        <v>58</v>
      </c>
      <c r="F86" s="56" t="s">
        <v>96</v>
      </c>
      <c r="G86" s="57">
        <v>1</v>
      </c>
      <c r="H86" s="53" t="s">
        <v>61</v>
      </c>
      <c r="I86" s="58" t="s">
        <v>62</v>
      </c>
      <c r="J86" s="59">
        <v>3</v>
      </c>
      <c r="K86" s="60">
        <v>748504</v>
      </c>
      <c r="L86" s="61">
        <v>0</v>
      </c>
      <c r="M86" s="61">
        <v>0</v>
      </c>
      <c r="N86" s="60">
        <f t="shared" si="23"/>
        <v>748504</v>
      </c>
      <c r="O86" s="61">
        <v>0</v>
      </c>
      <c r="P86" s="61">
        <v>0</v>
      </c>
      <c r="Q86" s="61">
        <v>0</v>
      </c>
      <c r="R86" s="60">
        <f t="shared" si="2"/>
        <v>748504</v>
      </c>
      <c r="S86" s="61">
        <v>0</v>
      </c>
      <c r="T86" s="62">
        <f>S86/R86</f>
        <v>0</v>
      </c>
      <c r="U86" s="61">
        <v>0</v>
      </c>
      <c r="V86" s="62">
        <f t="shared" si="3"/>
        <v>0</v>
      </c>
      <c r="W86" s="61">
        <v>0</v>
      </c>
      <c r="X86" s="63">
        <f t="shared" si="4"/>
        <v>0</v>
      </c>
      <c r="Y86" s="64"/>
    </row>
    <row r="87" spans="1:25" s="65" customFormat="1" ht="39" customHeight="1" x14ac:dyDescent="0.2">
      <c r="A87" s="51" t="s">
        <v>47</v>
      </c>
      <c r="B87" s="52" t="s">
        <v>48</v>
      </c>
      <c r="C87" s="53" t="s">
        <v>90</v>
      </c>
      <c r="D87" s="54" t="s">
        <v>95</v>
      </c>
      <c r="E87" s="55" t="s">
        <v>58</v>
      </c>
      <c r="F87" s="56" t="s">
        <v>96</v>
      </c>
      <c r="G87" s="57">
        <v>1</v>
      </c>
      <c r="H87" s="87" t="s">
        <v>65</v>
      </c>
      <c r="I87" s="88" t="s">
        <v>66</v>
      </c>
      <c r="J87" s="59">
        <v>3</v>
      </c>
      <c r="K87" s="60">
        <v>0</v>
      </c>
      <c r="L87" s="61">
        <f>1250000</f>
        <v>1250000</v>
      </c>
      <c r="M87" s="61">
        <v>0</v>
      </c>
      <c r="N87" s="60">
        <f t="shared" si="23"/>
        <v>1250000</v>
      </c>
      <c r="O87" s="61">
        <v>0</v>
      </c>
      <c r="P87" s="61">
        <v>0</v>
      </c>
      <c r="Q87" s="61">
        <v>0</v>
      </c>
      <c r="R87" s="60">
        <f t="shared" si="2"/>
        <v>1250000</v>
      </c>
      <c r="S87" s="61">
        <v>0</v>
      </c>
      <c r="T87" s="62">
        <f>S87/R87</f>
        <v>0</v>
      </c>
      <c r="U87" s="61">
        <v>0</v>
      </c>
      <c r="V87" s="62">
        <f t="shared" si="3"/>
        <v>0</v>
      </c>
      <c r="W87" s="61">
        <v>0</v>
      </c>
      <c r="X87" s="63">
        <f t="shared" si="4"/>
        <v>0</v>
      </c>
      <c r="Y87" s="64"/>
    </row>
    <row r="88" spans="1:25" s="42" customFormat="1" ht="9" customHeight="1" x14ac:dyDescent="0.2">
      <c r="A88" s="66"/>
      <c r="B88" s="67"/>
      <c r="C88" s="68"/>
      <c r="D88" s="69"/>
      <c r="E88" s="70"/>
      <c r="F88" s="71"/>
      <c r="G88" s="72"/>
      <c r="H88" s="68"/>
      <c r="I88" s="73"/>
      <c r="J88" s="74"/>
      <c r="K88" s="75"/>
      <c r="L88" s="76"/>
      <c r="M88" s="76"/>
      <c r="N88" s="75"/>
      <c r="O88" s="76"/>
      <c r="P88" s="76"/>
      <c r="Q88" s="76"/>
      <c r="R88" s="75"/>
      <c r="S88" s="76"/>
      <c r="T88" s="77"/>
      <c r="U88" s="76"/>
      <c r="V88" s="77"/>
      <c r="W88" s="76"/>
      <c r="X88" s="78"/>
    </row>
    <row r="89" spans="1:25" s="50" customFormat="1" ht="39" customHeight="1" x14ac:dyDescent="0.2">
      <c r="A89" s="79" t="s">
        <v>47</v>
      </c>
      <c r="B89" s="195" t="s">
        <v>48</v>
      </c>
      <c r="C89" s="196"/>
      <c r="D89" s="80" t="s">
        <v>97</v>
      </c>
      <c r="E89" s="81" t="s">
        <v>58</v>
      </c>
      <c r="F89" s="195" t="s">
        <v>98</v>
      </c>
      <c r="G89" s="197"/>
      <c r="H89" s="197"/>
      <c r="I89" s="197"/>
      <c r="J89" s="196"/>
      <c r="K89" s="82">
        <f>K90</f>
        <v>510000</v>
      </c>
      <c r="L89" s="82">
        <f t="shared" ref="L89:S89" si="27">L90</f>
        <v>0</v>
      </c>
      <c r="M89" s="82">
        <f t="shared" si="27"/>
        <v>35000</v>
      </c>
      <c r="N89" s="82">
        <f t="shared" si="27"/>
        <v>475000</v>
      </c>
      <c r="O89" s="82">
        <f t="shared" si="27"/>
        <v>0</v>
      </c>
      <c r="P89" s="82">
        <f t="shared" si="27"/>
        <v>0</v>
      </c>
      <c r="Q89" s="82">
        <f t="shared" si="27"/>
        <v>0</v>
      </c>
      <c r="R89" s="82">
        <f t="shared" si="27"/>
        <v>475000</v>
      </c>
      <c r="S89" s="82">
        <f t="shared" si="27"/>
        <v>434536.95999999996</v>
      </c>
      <c r="T89" s="83">
        <f>S89/R89</f>
        <v>0.91481465263157891</v>
      </c>
      <c r="U89" s="82">
        <f>U90</f>
        <v>434536.95999999996</v>
      </c>
      <c r="V89" s="83">
        <f>U89/R89</f>
        <v>0.91481465263157891</v>
      </c>
      <c r="W89" s="82">
        <f>W90</f>
        <v>434536.95999999996</v>
      </c>
      <c r="X89" s="84">
        <f>W89/R89</f>
        <v>0.91481465263157891</v>
      </c>
      <c r="Y89" s="49"/>
    </row>
    <row r="90" spans="1:25" s="65" customFormat="1" ht="39" customHeight="1" x14ac:dyDescent="0.2">
      <c r="A90" s="51" t="s">
        <v>47</v>
      </c>
      <c r="B90" s="52" t="s">
        <v>48</v>
      </c>
      <c r="C90" s="53" t="s">
        <v>90</v>
      </c>
      <c r="D90" s="54" t="s">
        <v>97</v>
      </c>
      <c r="E90" s="55" t="s">
        <v>58</v>
      </c>
      <c r="F90" s="56" t="s">
        <v>98</v>
      </c>
      <c r="G90" s="57">
        <v>1</v>
      </c>
      <c r="H90" s="53" t="s">
        <v>53</v>
      </c>
      <c r="I90" s="58" t="s">
        <v>54</v>
      </c>
      <c r="J90" s="59">
        <v>3</v>
      </c>
      <c r="K90" s="60">
        <v>510000</v>
      </c>
      <c r="L90" s="61">
        <v>0</v>
      </c>
      <c r="M90" s="61">
        <f>35000</f>
        <v>35000</v>
      </c>
      <c r="N90" s="60">
        <f t="shared" si="23"/>
        <v>475000</v>
      </c>
      <c r="O90" s="61">
        <v>0</v>
      </c>
      <c r="P90" s="61">
        <v>0</v>
      </c>
      <c r="Q90" s="61">
        <v>0</v>
      </c>
      <c r="R90" s="60">
        <f t="shared" si="2"/>
        <v>475000</v>
      </c>
      <c r="S90" s="61">
        <f>35023.4+35016.8+36638.2+39937.6+38708+36670.4+39572+38938.4+51055.2+41387.68+41589.28</f>
        <v>434536.95999999996</v>
      </c>
      <c r="T90" s="62">
        <f>S90/R90</f>
        <v>0.91481465263157891</v>
      </c>
      <c r="U90" s="61">
        <f>35023.4+35016.8+36638.2+39937.6+38708+36670.4+39572+38938.4+51055.2+41387.68+41589.28</f>
        <v>434536.95999999996</v>
      </c>
      <c r="V90" s="62">
        <f t="shared" si="3"/>
        <v>0.91481465263157891</v>
      </c>
      <c r="W90" s="61">
        <f>35023.4+35016.8+36638.2+39937.6+38708+36670.4+39572+38938.4+51055.2+41387.68+41589.28</f>
        <v>434536.95999999996</v>
      </c>
      <c r="X90" s="63">
        <f t="shared" si="4"/>
        <v>0.91481465263157891</v>
      </c>
      <c r="Y90" s="64"/>
    </row>
    <row r="91" spans="1:25" s="42" customFormat="1" ht="9" customHeight="1" x14ac:dyDescent="0.2">
      <c r="A91" s="66"/>
      <c r="B91" s="67"/>
      <c r="C91" s="68"/>
      <c r="D91" s="69"/>
      <c r="E91" s="70"/>
      <c r="F91" s="71"/>
      <c r="G91" s="72"/>
      <c r="H91" s="68"/>
      <c r="I91" s="73"/>
      <c r="J91" s="74"/>
      <c r="K91" s="75"/>
      <c r="L91" s="76"/>
      <c r="M91" s="76"/>
      <c r="N91" s="75"/>
      <c r="O91" s="76"/>
      <c r="P91" s="76"/>
      <c r="Q91" s="76"/>
      <c r="R91" s="75"/>
      <c r="S91" s="76"/>
      <c r="T91" s="77"/>
      <c r="U91" s="76"/>
      <c r="V91" s="77"/>
      <c r="W91" s="76"/>
      <c r="X91" s="78"/>
    </row>
    <row r="92" spans="1:25" s="50" customFormat="1" ht="39" customHeight="1" x14ac:dyDescent="0.2">
      <c r="A92" s="79" t="s">
        <v>47</v>
      </c>
      <c r="B92" s="195" t="s">
        <v>48</v>
      </c>
      <c r="C92" s="196"/>
      <c r="D92" s="80" t="s">
        <v>99</v>
      </c>
      <c r="E92" s="81" t="s">
        <v>58</v>
      </c>
      <c r="F92" s="195" t="s">
        <v>100</v>
      </c>
      <c r="G92" s="197"/>
      <c r="H92" s="197"/>
      <c r="I92" s="197"/>
      <c r="J92" s="196"/>
      <c r="K92" s="82">
        <f>K93</f>
        <v>956770</v>
      </c>
      <c r="L92" s="82">
        <f t="shared" ref="L92:S92" si="28">L93</f>
        <v>45000</v>
      </c>
      <c r="M92" s="82">
        <f t="shared" si="28"/>
        <v>0</v>
      </c>
      <c r="N92" s="82">
        <f t="shared" si="28"/>
        <v>1001770</v>
      </c>
      <c r="O92" s="82">
        <f t="shared" si="28"/>
        <v>0</v>
      </c>
      <c r="P92" s="82">
        <f t="shared" si="28"/>
        <v>0</v>
      </c>
      <c r="Q92" s="82">
        <f t="shared" si="28"/>
        <v>0</v>
      </c>
      <c r="R92" s="82">
        <f t="shared" si="28"/>
        <v>1001770</v>
      </c>
      <c r="S92" s="82">
        <f t="shared" si="28"/>
        <v>909962.42999999993</v>
      </c>
      <c r="T92" s="83">
        <f>S92/R92</f>
        <v>0.90835464228315876</v>
      </c>
      <c r="U92" s="82">
        <f>U93</f>
        <v>909962.42999999993</v>
      </c>
      <c r="V92" s="83">
        <f>U92/R92</f>
        <v>0.90835464228315876</v>
      </c>
      <c r="W92" s="82">
        <f>W93</f>
        <v>909962.42999999993</v>
      </c>
      <c r="X92" s="84">
        <f>W92/R92</f>
        <v>0.90835464228315876</v>
      </c>
      <c r="Y92" s="49"/>
    </row>
    <row r="93" spans="1:25" s="65" customFormat="1" ht="39" customHeight="1" x14ac:dyDescent="0.2">
      <c r="A93" s="51" t="s">
        <v>47</v>
      </c>
      <c r="B93" s="52" t="s">
        <v>48</v>
      </c>
      <c r="C93" s="53" t="s">
        <v>90</v>
      </c>
      <c r="D93" s="54" t="s">
        <v>99</v>
      </c>
      <c r="E93" s="55" t="s">
        <v>58</v>
      </c>
      <c r="F93" s="56" t="s">
        <v>100</v>
      </c>
      <c r="G93" s="57">
        <v>1</v>
      </c>
      <c r="H93" s="53" t="s">
        <v>53</v>
      </c>
      <c r="I93" s="58" t="s">
        <v>54</v>
      </c>
      <c r="J93" s="59">
        <v>3</v>
      </c>
      <c r="K93" s="60">
        <v>956770</v>
      </c>
      <c r="L93" s="61">
        <f>45000</f>
        <v>45000</v>
      </c>
      <c r="M93" s="61">
        <v>0</v>
      </c>
      <c r="N93" s="60">
        <f t="shared" si="23"/>
        <v>1001770</v>
      </c>
      <c r="O93" s="61">
        <v>0</v>
      </c>
      <c r="P93" s="61">
        <v>0</v>
      </c>
      <c r="Q93" s="61">
        <v>0</v>
      </c>
      <c r="R93" s="60">
        <f t="shared" si="2"/>
        <v>1001770</v>
      </c>
      <c r="S93" s="61">
        <f>82826.5+87811.6+81949+79728.03+80300.8+73844.9+85462.6+84821.33+86790.47+83587.51+82839.69</f>
        <v>909962.42999999993</v>
      </c>
      <c r="T93" s="62">
        <f>S93/R93</f>
        <v>0.90835464228315876</v>
      </c>
      <c r="U93" s="61">
        <f>82826.5+87811.6+81949+79728.03+80300.8+73844.9+85462.6+84821.33+86790.47+83587.51+82839.69</f>
        <v>909962.42999999993</v>
      </c>
      <c r="V93" s="62">
        <f t="shared" si="3"/>
        <v>0.90835464228315876</v>
      </c>
      <c r="W93" s="61">
        <f>82826.5+87811.6+81949+79728.03+80300.8+73844.9+85462.6+84821.33+86790.47+83587.51+82839.69</f>
        <v>909962.42999999993</v>
      </c>
      <c r="X93" s="63">
        <f t="shared" si="4"/>
        <v>0.90835464228315876</v>
      </c>
      <c r="Y93" s="64"/>
    </row>
    <row r="94" spans="1:25" s="42" customFormat="1" ht="9" customHeight="1" x14ac:dyDescent="0.2">
      <c r="A94" s="66"/>
      <c r="B94" s="67"/>
      <c r="C94" s="68"/>
      <c r="D94" s="69"/>
      <c r="E94" s="70"/>
      <c r="F94" s="71"/>
      <c r="G94" s="72"/>
      <c r="H94" s="68"/>
      <c r="I94" s="73"/>
      <c r="J94" s="74"/>
      <c r="K94" s="75"/>
      <c r="L94" s="76"/>
      <c r="M94" s="76"/>
      <c r="N94" s="75"/>
      <c r="O94" s="76"/>
      <c r="P94" s="76"/>
      <c r="Q94" s="76"/>
      <c r="R94" s="75"/>
      <c r="S94" s="76"/>
      <c r="T94" s="77"/>
      <c r="U94" s="76"/>
      <c r="V94" s="77"/>
      <c r="W94" s="76"/>
      <c r="X94" s="78"/>
    </row>
    <row r="95" spans="1:25" s="50" customFormat="1" ht="39" customHeight="1" x14ac:dyDescent="0.2">
      <c r="A95" s="79" t="s">
        <v>47</v>
      </c>
      <c r="B95" s="195" t="s">
        <v>48</v>
      </c>
      <c r="C95" s="196"/>
      <c r="D95" s="80" t="s">
        <v>101</v>
      </c>
      <c r="E95" s="81" t="s">
        <v>58</v>
      </c>
      <c r="F95" s="195" t="s">
        <v>102</v>
      </c>
      <c r="G95" s="197"/>
      <c r="H95" s="197"/>
      <c r="I95" s="197"/>
      <c r="J95" s="196"/>
      <c r="K95" s="82">
        <f>K96</f>
        <v>432000</v>
      </c>
      <c r="L95" s="82">
        <f t="shared" ref="L95:R95" si="29">L96</f>
        <v>0</v>
      </c>
      <c r="M95" s="82">
        <f t="shared" si="29"/>
        <v>10000</v>
      </c>
      <c r="N95" s="82">
        <f t="shared" si="29"/>
        <v>422000</v>
      </c>
      <c r="O95" s="82">
        <f t="shared" si="29"/>
        <v>0</v>
      </c>
      <c r="P95" s="82">
        <f t="shared" si="29"/>
        <v>0</v>
      </c>
      <c r="Q95" s="82">
        <f t="shared" si="29"/>
        <v>0</v>
      </c>
      <c r="R95" s="82">
        <f t="shared" si="29"/>
        <v>422000</v>
      </c>
      <c r="S95" s="82">
        <f>S96</f>
        <v>389940.71999999991</v>
      </c>
      <c r="T95" s="83">
        <f>S95/R95</f>
        <v>0.9240301421800946</v>
      </c>
      <c r="U95" s="82">
        <f>U96</f>
        <v>389940.71999999991</v>
      </c>
      <c r="V95" s="83">
        <f>U95/R95</f>
        <v>0.9240301421800946</v>
      </c>
      <c r="W95" s="82">
        <f>W96</f>
        <v>389940.71999999991</v>
      </c>
      <c r="X95" s="84">
        <f>W95/R95</f>
        <v>0.9240301421800946</v>
      </c>
      <c r="Y95" s="49"/>
    </row>
    <row r="96" spans="1:25" s="65" customFormat="1" ht="39" customHeight="1" x14ac:dyDescent="0.2">
      <c r="A96" s="51" t="s">
        <v>47</v>
      </c>
      <c r="B96" s="52" t="s">
        <v>48</v>
      </c>
      <c r="C96" s="53" t="s">
        <v>90</v>
      </c>
      <c r="D96" s="54" t="s">
        <v>101</v>
      </c>
      <c r="E96" s="55" t="s">
        <v>58</v>
      </c>
      <c r="F96" s="56" t="s">
        <v>102</v>
      </c>
      <c r="G96" s="57">
        <v>1</v>
      </c>
      <c r="H96" s="53" t="s">
        <v>53</v>
      </c>
      <c r="I96" s="58" t="s">
        <v>54</v>
      </c>
      <c r="J96" s="59">
        <v>3</v>
      </c>
      <c r="K96" s="60">
        <v>432000</v>
      </c>
      <c r="L96" s="61">
        <v>0</v>
      </c>
      <c r="M96" s="61">
        <f>10000</f>
        <v>10000</v>
      </c>
      <c r="N96" s="60">
        <f t="shared" si="23"/>
        <v>422000</v>
      </c>
      <c r="O96" s="61">
        <v>0</v>
      </c>
      <c r="P96" s="61">
        <v>0</v>
      </c>
      <c r="Q96" s="61">
        <v>0</v>
      </c>
      <c r="R96" s="60">
        <f t="shared" si="2"/>
        <v>422000</v>
      </c>
      <c r="S96" s="61">
        <f>38400+38400+37200+34800+34800+34800+34800+42294.72+30222.72+30222.72+34000.56</f>
        <v>389940.71999999991</v>
      </c>
      <c r="T96" s="62">
        <f>S96/R96</f>
        <v>0.9240301421800946</v>
      </c>
      <c r="U96" s="61">
        <f>38400+38400+37200+34800+34800+34800+34800+42294.72+30222.72+30222.72+34000.56</f>
        <v>389940.71999999991</v>
      </c>
      <c r="V96" s="62">
        <f t="shared" si="3"/>
        <v>0.9240301421800946</v>
      </c>
      <c r="W96" s="61">
        <f>38400+38400+37200+34800+34800+34800+34800+42294.72+30222.72+30222.72+34000.56</f>
        <v>389940.71999999991</v>
      </c>
      <c r="X96" s="63">
        <f t="shared" si="4"/>
        <v>0.9240301421800946</v>
      </c>
      <c r="Y96" s="64"/>
    </row>
    <row r="97" spans="1:25" s="42" customFormat="1" ht="9" customHeight="1" x14ac:dyDescent="0.2">
      <c r="A97" s="66"/>
      <c r="B97" s="67"/>
      <c r="C97" s="68"/>
      <c r="D97" s="69"/>
      <c r="E97" s="70"/>
      <c r="F97" s="71"/>
      <c r="G97" s="72"/>
      <c r="H97" s="68"/>
      <c r="I97" s="73"/>
      <c r="J97" s="74"/>
      <c r="K97" s="75"/>
      <c r="L97" s="76"/>
      <c r="M97" s="76"/>
      <c r="N97" s="75"/>
      <c r="O97" s="76"/>
      <c r="P97" s="76"/>
      <c r="Q97" s="76"/>
      <c r="R97" s="75"/>
      <c r="S97" s="76"/>
      <c r="T97" s="77"/>
      <c r="U97" s="76"/>
      <c r="V97" s="77"/>
      <c r="W97" s="76"/>
      <c r="X97" s="78"/>
    </row>
    <row r="98" spans="1:25" s="50" customFormat="1" ht="39" customHeight="1" x14ac:dyDescent="0.2">
      <c r="A98" s="79" t="s">
        <v>47</v>
      </c>
      <c r="B98" s="195" t="s">
        <v>48</v>
      </c>
      <c r="C98" s="196"/>
      <c r="D98" s="80" t="s">
        <v>103</v>
      </c>
      <c r="E98" s="81" t="s">
        <v>58</v>
      </c>
      <c r="F98" s="195" t="s">
        <v>104</v>
      </c>
      <c r="G98" s="197"/>
      <c r="H98" s="197"/>
      <c r="I98" s="197"/>
      <c r="J98" s="196"/>
      <c r="K98" s="82">
        <f>K99</f>
        <v>22019</v>
      </c>
      <c r="L98" s="82">
        <f t="shared" ref="L98:S98" si="30">L99</f>
        <v>0</v>
      </c>
      <c r="M98" s="82">
        <f t="shared" si="30"/>
        <v>0</v>
      </c>
      <c r="N98" s="82">
        <f t="shared" si="30"/>
        <v>22019</v>
      </c>
      <c r="O98" s="82">
        <f t="shared" si="30"/>
        <v>0</v>
      </c>
      <c r="P98" s="82">
        <f t="shared" si="30"/>
        <v>0</v>
      </c>
      <c r="Q98" s="82">
        <f t="shared" si="30"/>
        <v>0</v>
      </c>
      <c r="R98" s="82">
        <f t="shared" si="30"/>
        <v>22019</v>
      </c>
      <c r="S98" s="82">
        <f t="shared" si="30"/>
        <v>19456.060000000005</v>
      </c>
      <c r="T98" s="83">
        <f>S98/R98</f>
        <v>0.88360325173713639</v>
      </c>
      <c r="U98" s="82">
        <f>U99</f>
        <v>19456.060000000005</v>
      </c>
      <c r="V98" s="83">
        <f>U98/R98</f>
        <v>0.88360325173713639</v>
      </c>
      <c r="W98" s="82">
        <f>W99</f>
        <v>19456.060000000005</v>
      </c>
      <c r="X98" s="84">
        <f>W98/R98</f>
        <v>0.88360325173713639</v>
      </c>
      <c r="Y98" s="49"/>
    </row>
    <row r="99" spans="1:25" s="65" customFormat="1" ht="39" customHeight="1" x14ac:dyDescent="0.2">
      <c r="A99" s="51" t="s">
        <v>47</v>
      </c>
      <c r="B99" s="52" t="s">
        <v>48</v>
      </c>
      <c r="C99" s="53" t="s">
        <v>90</v>
      </c>
      <c r="D99" s="54" t="s">
        <v>103</v>
      </c>
      <c r="E99" s="55" t="s">
        <v>58</v>
      </c>
      <c r="F99" s="56" t="s">
        <v>104</v>
      </c>
      <c r="G99" s="57">
        <v>1</v>
      </c>
      <c r="H99" s="53" t="s">
        <v>53</v>
      </c>
      <c r="I99" s="58" t="s">
        <v>54</v>
      </c>
      <c r="J99" s="59">
        <v>3</v>
      </c>
      <c r="K99" s="60">
        <v>22019</v>
      </c>
      <c r="L99" s="61">
        <v>0</v>
      </c>
      <c r="M99" s="61">
        <v>0</v>
      </c>
      <c r="N99" s="60">
        <f t="shared" si="23"/>
        <v>22019</v>
      </c>
      <c r="O99" s="61">
        <v>0</v>
      </c>
      <c r="P99" s="61">
        <v>0</v>
      </c>
      <c r="Q99" s="61">
        <v>0</v>
      </c>
      <c r="R99" s="60">
        <f t="shared" si="2"/>
        <v>22019</v>
      </c>
      <c r="S99" s="61">
        <f>1693.2+145.2+145.2+4804.2+1698.2+1632.2+1711.4+1553+2382.3+1845.58+1845.58</f>
        <v>19456.060000000005</v>
      </c>
      <c r="T99" s="62">
        <f>S99/R99</f>
        <v>0.88360325173713639</v>
      </c>
      <c r="U99" s="61">
        <f>1693.2+145.2+145.2+4804.2+1698.2+1632.2+1711.4+1553+2382.3+1845.58+1845.58</f>
        <v>19456.060000000005</v>
      </c>
      <c r="V99" s="62">
        <f t="shared" si="3"/>
        <v>0.88360325173713639</v>
      </c>
      <c r="W99" s="61">
        <f>1693.2+145.2+145.2+4804.2+1698.2+1632.2+1711.4+1553+2382.3+1845.58+1845.58</f>
        <v>19456.060000000005</v>
      </c>
      <c r="X99" s="63">
        <f t="shared" si="4"/>
        <v>0.88360325173713639</v>
      </c>
      <c r="Y99" s="64"/>
    </row>
    <row r="100" spans="1:25" s="42" customFormat="1" ht="9" customHeight="1" x14ac:dyDescent="0.2">
      <c r="A100" s="66"/>
      <c r="B100" s="67"/>
      <c r="C100" s="68"/>
      <c r="D100" s="69"/>
      <c r="E100" s="70"/>
      <c r="F100" s="71"/>
      <c r="G100" s="72"/>
      <c r="H100" s="68"/>
      <c r="I100" s="73"/>
      <c r="J100" s="74"/>
      <c r="K100" s="75"/>
      <c r="L100" s="76"/>
      <c r="M100" s="76"/>
      <c r="N100" s="75"/>
      <c r="O100" s="76"/>
      <c r="P100" s="76"/>
      <c r="Q100" s="76"/>
      <c r="R100" s="75"/>
      <c r="S100" s="76"/>
      <c r="T100" s="77"/>
      <c r="U100" s="76"/>
      <c r="V100" s="77"/>
      <c r="W100" s="76"/>
      <c r="X100" s="78"/>
    </row>
    <row r="101" spans="1:25" s="50" customFormat="1" ht="39" customHeight="1" x14ac:dyDescent="0.2">
      <c r="A101" s="79" t="s">
        <v>47</v>
      </c>
      <c r="B101" s="195" t="s">
        <v>48</v>
      </c>
      <c r="C101" s="196"/>
      <c r="D101" s="80" t="s">
        <v>105</v>
      </c>
      <c r="E101" s="81" t="s">
        <v>58</v>
      </c>
      <c r="F101" s="195" t="s">
        <v>106</v>
      </c>
      <c r="G101" s="197"/>
      <c r="H101" s="197"/>
      <c r="I101" s="197"/>
      <c r="J101" s="196"/>
      <c r="K101" s="82">
        <f>K102</f>
        <v>16547810</v>
      </c>
      <c r="L101" s="82">
        <f t="shared" ref="L101:R101" si="31">L102</f>
        <v>0</v>
      </c>
      <c r="M101" s="82">
        <f t="shared" si="31"/>
        <v>16547810</v>
      </c>
      <c r="N101" s="82">
        <f t="shared" si="31"/>
        <v>0</v>
      </c>
      <c r="O101" s="82">
        <f t="shared" si="31"/>
        <v>0</v>
      </c>
      <c r="P101" s="82">
        <f t="shared" si="31"/>
        <v>0</v>
      </c>
      <c r="Q101" s="82">
        <f t="shared" si="31"/>
        <v>0</v>
      </c>
      <c r="R101" s="82">
        <f t="shared" si="31"/>
        <v>0</v>
      </c>
      <c r="S101" s="82">
        <f>S102</f>
        <v>0</v>
      </c>
      <c r="T101" s="83">
        <v>0</v>
      </c>
      <c r="U101" s="82">
        <f>U102</f>
        <v>0</v>
      </c>
      <c r="V101" s="83">
        <v>0</v>
      </c>
      <c r="W101" s="82">
        <f>W102</f>
        <v>0</v>
      </c>
      <c r="X101" s="84">
        <v>0</v>
      </c>
      <c r="Y101" s="49"/>
    </row>
    <row r="102" spans="1:25" s="65" customFormat="1" ht="39" customHeight="1" x14ac:dyDescent="0.2">
      <c r="A102" s="51" t="s">
        <v>47</v>
      </c>
      <c r="B102" s="52" t="s">
        <v>48</v>
      </c>
      <c r="C102" s="53" t="s">
        <v>90</v>
      </c>
      <c r="D102" s="54" t="s">
        <v>105</v>
      </c>
      <c r="E102" s="55" t="s">
        <v>58</v>
      </c>
      <c r="F102" s="56" t="s">
        <v>106</v>
      </c>
      <c r="G102" s="57">
        <v>1</v>
      </c>
      <c r="H102" s="53" t="s">
        <v>53</v>
      </c>
      <c r="I102" s="58" t="s">
        <v>54</v>
      </c>
      <c r="J102" s="59">
        <v>3</v>
      </c>
      <c r="K102" s="60">
        <v>16547810</v>
      </c>
      <c r="L102" s="61">
        <v>0</v>
      </c>
      <c r="M102" s="61">
        <f>16547810</f>
        <v>16547810</v>
      </c>
      <c r="N102" s="60">
        <f t="shared" si="23"/>
        <v>0</v>
      </c>
      <c r="O102" s="61">
        <v>0</v>
      </c>
      <c r="P102" s="61">
        <v>0</v>
      </c>
      <c r="Q102" s="61">
        <v>0</v>
      </c>
      <c r="R102" s="60">
        <f t="shared" si="2"/>
        <v>0</v>
      </c>
      <c r="S102" s="61">
        <v>0</v>
      </c>
      <c r="T102" s="62">
        <v>0</v>
      </c>
      <c r="U102" s="61">
        <v>0</v>
      </c>
      <c r="V102" s="62">
        <v>0</v>
      </c>
      <c r="W102" s="61">
        <v>0</v>
      </c>
      <c r="X102" s="63">
        <v>0</v>
      </c>
      <c r="Y102" s="64"/>
    </row>
    <row r="103" spans="1:25" s="42" customFormat="1" ht="9" customHeight="1" x14ac:dyDescent="0.2">
      <c r="A103" s="66"/>
      <c r="B103" s="67"/>
      <c r="C103" s="68"/>
      <c r="D103" s="69"/>
      <c r="E103" s="70"/>
      <c r="F103" s="71"/>
      <c r="G103" s="72"/>
      <c r="H103" s="68"/>
      <c r="I103" s="73"/>
      <c r="J103" s="74"/>
      <c r="K103" s="75"/>
      <c r="L103" s="76"/>
      <c r="M103" s="76"/>
      <c r="N103" s="75"/>
      <c r="O103" s="76"/>
      <c r="P103" s="76"/>
      <c r="Q103" s="76"/>
      <c r="R103" s="75"/>
      <c r="S103" s="76"/>
      <c r="T103" s="77"/>
      <c r="U103" s="76"/>
      <c r="V103" s="77"/>
      <c r="W103" s="76"/>
      <c r="X103" s="78"/>
    </row>
    <row r="104" spans="1:25" s="50" customFormat="1" ht="39" customHeight="1" x14ac:dyDescent="0.2">
      <c r="A104" s="79" t="s">
        <v>47</v>
      </c>
      <c r="B104" s="195" t="s">
        <v>48</v>
      </c>
      <c r="C104" s="196"/>
      <c r="D104" s="80" t="s">
        <v>107</v>
      </c>
      <c r="E104" s="81" t="s">
        <v>58</v>
      </c>
      <c r="F104" s="195" t="s">
        <v>108</v>
      </c>
      <c r="G104" s="197"/>
      <c r="H104" s="197"/>
      <c r="I104" s="197"/>
      <c r="J104" s="196"/>
      <c r="K104" s="82">
        <f>K105</f>
        <v>1418385</v>
      </c>
      <c r="L104" s="82">
        <f t="shared" ref="L104:S104" si="32">L105</f>
        <v>0</v>
      </c>
      <c r="M104" s="82">
        <f t="shared" si="32"/>
        <v>1418385</v>
      </c>
      <c r="N104" s="82">
        <f t="shared" si="32"/>
        <v>0</v>
      </c>
      <c r="O104" s="82">
        <f t="shared" si="32"/>
        <v>0</v>
      </c>
      <c r="P104" s="82">
        <f t="shared" si="32"/>
        <v>0</v>
      </c>
      <c r="Q104" s="82">
        <f t="shared" si="32"/>
        <v>0</v>
      </c>
      <c r="R104" s="82">
        <f t="shared" si="32"/>
        <v>0</v>
      </c>
      <c r="S104" s="82">
        <f t="shared" si="32"/>
        <v>0</v>
      </c>
      <c r="T104" s="83">
        <v>0</v>
      </c>
      <c r="U104" s="82">
        <f>U105</f>
        <v>0</v>
      </c>
      <c r="V104" s="83">
        <v>0</v>
      </c>
      <c r="W104" s="82">
        <f>W105</f>
        <v>0</v>
      </c>
      <c r="X104" s="84">
        <v>0</v>
      </c>
      <c r="Y104" s="49"/>
    </row>
    <row r="105" spans="1:25" s="65" customFormat="1" ht="39" customHeight="1" thickBot="1" x14ac:dyDescent="0.25">
      <c r="A105" s="51" t="s">
        <v>47</v>
      </c>
      <c r="B105" s="52" t="s">
        <v>48</v>
      </c>
      <c r="C105" s="53" t="s">
        <v>90</v>
      </c>
      <c r="D105" s="54" t="s">
        <v>107</v>
      </c>
      <c r="E105" s="55" t="s">
        <v>58</v>
      </c>
      <c r="F105" s="56" t="s">
        <v>108</v>
      </c>
      <c r="G105" s="57">
        <v>1</v>
      </c>
      <c r="H105" s="53" t="s">
        <v>53</v>
      </c>
      <c r="I105" s="58" t="s">
        <v>54</v>
      </c>
      <c r="J105" s="59">
        <v>3</v>
      </c>
      <c r="K105" s="60">
        <v>1418385</v>
      </c>
      <c r="L105" s="61">
        <v>0</v>
      </c>
      <c r="M105" s="61">
        <f>1418385</f>
        <v>1418385</v>
      </c>
      <c r="N105" s="60">
        <f t="shared" si="23"/>
        <v>0</v>
      </c>
      <c r="O105" s="61">
        <v>0</v>
      </c>
      <c r="P105" s="61">
        <v>0</v>
      </c>
      <c r="Q105" s="61">
        <v>0</v>
      </c>
      <c r="R105" s="60">
        <f t="shared" si="2"/>
        <v>0</v>
      </c>
      <c r="S105" s="61">
        <v>0</v>
      </c>
      <c r="T105" s="62">
        <v>0</v>
      </c>
      <c r="U105" s="61">
        <v>0</v>
      </c>
      <c r="V105" s="62">
        <v>0</v>
      </c>
      <c r="W105" s="61">
        <v>0</v>
      </c>
      <c r="X105" s="63">
        <v>0</v>
      </c>
      <c r="Y105" s="64"/>
    </row>
    <row r="106" spans="1:25" s="50" customFormat="1" ht="39" customHeight="1" thickBot="1" x14ac:dyDescent="0.25">
      <c r="A106" s="201" t="s">
        <v>109</v>
      </c>
      <c r="B106" s="202"/>
      <c r="C106" s="202"/>
      <c r="D106" s="202"/>
      <c r="E106" s="202"/>
      <c r="F106" s="202"/>
      <c r="G106" s="202"/>
      <c r="H106" s="202"/>
      <c r="I106" s="202"/>
      <c r="J106" s="203"/>
      <c r="K106" s="89">
        <f>K13+K16+K19+K27+K33+K40+K47+K53+K57+K61+K66+K69+K72+K75+K78+K81+K84+K89+K92+K95+K98+K101+K104</f>
        <v>1003728029</v>
      </c>
      <c r="L106" s="89">
        <f t="shared" ref="L106:S106" si="33">L13+L16+L19+L27+L33+L40+L47+L53+L57+L61+L66+L69+L72+L75+L78+L81+L84+L89+L92+L95+L98+L101+L104</f>
        <v>58291757.840000004</v>
      </c>
      <c r="M106" s="89">
        <f t="shared" si="33"/>
        <v>42882098.840000004</v>
      </c>
      <c r="N106" s="89">
        <f t="shared" si="33"/>
        <v>1019137688.0000001</v>
      </c>
      <c r="O106" s="89">
        <f t="shared" si="33"/>
        <v>0</v>
      </c>
      <c r="P106" s="89">
        <f t="shared" si="33"/>
        <v>0</v>
      </c>
      <c r="Q106" s="89">
        <f t="shared" si="33"/>
        <v>-11724360.98</v>
      </c>
      <c r="R106" s="89">
        <f t="shared" si="33"/>
        <v>1007413327.02</v>
      </c>
      <c r="S106" s="89">
        <f t="shared" si="33"/>
        <v>860845324.73999989</v>
      </c>
      <c r="T106" s="90">
        <f>S106/R106</f>
        <v>0.85451055852759206</v>
      </c>
      <c r="U106" s="89">
        <f>U13+U16+U19+U27+U33+U40+U47+U53+U57+U61+U66+U69+U72+U75+U78+U81+U84+U89+U92+U95+U98+U101+U104</f>
        <v>858969543.16999996</v>
      </c>
      <c r="V106" s="90">
        <f>U106/R106</f>
        <v>0.8526485804102798</v>
      </c>
      <c r="W106" s="89">
        <f>W13+W16+W19+W27+W33+W40+W47+W53+W57+W61+W66+W69+W72+W75+W78+W81+W84+W89+W92+W95+W98+W101+W104</f>
        <v>848597339.65999973</v>
      </c>
      <c r="X106" s="91">
        <f>W106/R106</f>
        <v>0.84235270360201686</v>
      </c>
      <c r="Y106" s="49"/>
    </row>
    <row r="107" spans="1:25" s="42" customFormat="1" ht="12" customHeight="1" thickBot="1" x14ac:dyDescent="0.25">
      <c r="A107" s="30"/>
      <c r="B107" s="31"/>
      <c r="C107" s="32"/>
      <c r="D107" s="33"/>
      <c r="E107" s="34"/>
      <c r="F107" s="35"/>
      <c r="G107" s="36"/>
      <c r="H107" s="32"/>
      <c r="I107" s="37"/>
      <c r="J107" s="38"/>
      <c r="K107" s="39"/>
      <c r="L107" s="40"/>
      <c r="M107" s="40"/>
      <c r="N107" s="39"/>
      <c r="O107" s="40"/>
      <c r="P107" s="40"/>
      <c r="Q107" s="40"/>
      <c r="R107" s="39"/>
      <c r="S107" s="40"/>
      <c r="T107" s="41"/>
      <c r="U107" s="40"/>
      <c r="V107" s="41"/>
      <c r="W107" s="40"/>
      <c r="X107" s="41"/>
    </row>
    <row r="108" spans="1:25" s="50" customFormat="1" ht="39" customHeight="1" x14ac:dyDescent="0.2">
      <c r="A108" s="43" t="s">
        <v>110</v>
      </c>
      <c r="B108" s="204" t="s">
        <v>111</v>
      </c>
      <c r="C108" s="205"/>
      <c r="D108" s="44" t="s">
        <v>112</v>
      </c>
      <c r="E108" s="45" t="s">
        <v>50</v>
      </c>
      <c r="F108" s="204" t="s">
        <v>113</v>
      </c>
      <c r="G108" s="206"/>
      <c r="H108" s="206"/>
      <c r="I108" s="206"/>
      <c r="J108" s="205"/>
      <c r="K108" s="46">
        <f>SUM(K109:K113)</f>
        <v>324765</v>
      </c>
      <c r="L108" s="46">
        <f t="shared" ref="L108:W108" si="34">SUM(L109:L113)</f>
        <v>4135436.07</v>
      </c>
      <c r="M108" s="46">
        <f t="shared" si="34"/>
        <v>189000</v>
      </c>
      <c r="N108" s="46">
        <f t="shared" si="34"/>
        <v>4271201.07</v>
      </c>
      <c r="O108" s="46">
        <f t="shared" si="34"/>
        <v>0</v>
      </c>
      <c r="P108" s="46">
        <f t="shared" si="34"/>
        <v>0</v>
      </c>
      <c r="Q108" s="46">
        <f t="shared" si="34"/>
        <v>0</v>
      </c>
      <c r="R108" s="46">
        <f t="shared" si="34"/>
        <v>4271201.07</v>
      </c>
      <c r="S108" s="46">
        <f t="shared" si="34"/>
        <v>1341510.5</v>
      </c>
      <c r="T108" s="47">
        <f>S108/R108</f>
        <v>0.31408273176893542</v>
      </c>
      <c r="U108" s="46">
        <f t="shared" si="34"/>
        <v>899604.31</v>
      </c>
      <c r="V108" s="47">
        <f>U108/R108</f>
        <v>0.21062092260620266</v>
      </c>
      <c r="W108" s="46">
        <f t="shared" si="34"/>
        <v>899604.31</v>
      </c>
      <c r="X108" s="48">
        <f>W108/R108</f>
        <v>0.21062092260620266</v>
      </c>
      <c r="Y108" s="49"/>
    </row>
    <row r="109" spans="1:25" s="65" customFormat="1" ht="39" customHeight="1" x14ac:dyDescent="0.2">
      <c r="A109" s="92" t="s">
        <v>110</v>
      </c>
      <c r="B109" s="52" t="s">
        <v>111</v>
      </c>
      <c r="C109" s="53" t="s">
        <v>52</v>
      </c>
      <c r="D109" s="93" t="s">
        <v>112</v>
      </c>
      <c r="E109" s="94" t="s">
        <v>50</v>
      </c>
      <c r="F109" s="52" t="s">
        <v>113</v>
      </c>
      <c r="G109" s="95">
        <v>1</v>
      </c>
      <c r="H109" s="53" t="s">
        <v>53</v>
      </c>
      <c r="I109" s="58" t="s">
        <v>54</v>
      </c>
      <c r="J109" s="96">
        <v>4</v>
      </c>
      <c r="K109" s="61">
        <v>20000</v>
      </c>
      <c r="L109" s="61">
        <v>0</v>
      </c>
      <c r="M109" s="61">
        <v>0</v>
      </c>
      <c r="N109" s="61">
        <f>K109+L109-M109</f>
        <v>20000</v>
      </c>
      <c r="O109" s="61">
        <v>0</v>
      </c>
      <c r="P109" s="61">
        <v>0</v>
      </c>
      <c r="Q109" s="61">
        <v>0</v>
      </c>
      <c r="R109" s="61">
        <f>N109-O109+P109+Q109</f>
        <v>20000</v>
      </c>
      <c r="S109" s="61">
        <v>0</v>
      </c>
      <c r="T109" s="62">
        <f>S109/R109</f>
        <v>0</v>
      </c>
      <c r="U109" s="61">
        <v>0</v>
      </c>
      <c r="V109" s="62">
        <f>U109/R109</f>
        <v>0</v>
      </c>
      <c r="W109" s="61">
        <v>0</v>
      </c>
      <c r="X109" s="63">
        <f>W109/R109</f>
        <v>0</v>
      </c>
      <c r="Y109" s="64"/>
    </row>
    <row r="110" spans="1:25" s="65" customFormat="1" ht="39" customHeight="1" x14ac:dyDescent="0.2">
      <c r="A110" s="92" t="s">
        <v>110</v>
      </c>
      <c r="B110" s="52" t="s">
        <v>111</v>
      </c>
      <c r="C110" s="53" t="s">
        <v>52</v>
      </c>
      <c r="D110" s="93" t="s">
        <v>112</v>
      </c>
      <c r="E110" s="94" t="s">
        <v>50</v>
      </c>
      <c r="F110" s="52" t="s">
        <v>113</v>
      </c>
      <c r="G110" s="95">
        <v>1</v>
      </c>
      <c r="H110" s="53" t="s">
        <v>114</v>
      </c>
      <c r="I110" s="58" t="s">
        <v>115</v>
      </c>
      <c r="J110" s="96">
        <v>3</v>
      </c>
      <c r="K110" s="61">
        <v>0</v>
      </c>
      <c r="L110" s="61">
        <f>21000</f>
        <v>21000</v>
      </c>
      <c r="M110" s="61">
        <v>0</v>
      </c>
      <c r="N110" s="61">
        <f t="shared" ref="N110:N142" si="35">K110+L110-M110</f>
        <v>21000</v>
      </c>
      <c r="O110" s="61">
        <v>0</v>
      </c>
      <c r="P110" s="61">
        <v>0</v>
      </c>
      <c r="Q110" s="61">
        <v>0</v>
      </c>
      <c r="R110" s="61">
        <f t="shared" ref="R110:R142" si="36">N110-O110+P110+Q110</f>
        <v>21000</v>
      </c>
      <c r="S110" s="61">
        <v>0</v>
      </c>
      <c r="T110" s="62">
        <f t="shared" ref="T110:T111" si="37">S110/R110</f>
        <v>0</v>
      </c>
      <c r="U110" s="61">
        <v>0</v>
      </c>
      <c r="V110" s="62">
        <f t="shared" ref="V110:V150" si="38">U110/R110</f>
        <v>0</v>
      </c>
      <c r="W110" s="61">
        <v>0</v>
      </c>
      <c r="X110" s="63">
        <f t="shared" ref="X110:X150" si="39">W110/R110</f>
        <v>0</v>
      </c>
      <c r="Y110" s="64"/>
    </row>
    <row r="111" spans="1:25" s="65" customFormat="1" ht="39" customHeight="1" x14ac:dyDescent="0.2">
      <c r="A111" s="92" t="s">
        <v>110</v>
      </c>
      <c r="B111" s="52" t="s">
        <v>111</v>
      </c>
      <c r="C111" s="53" t="s">
        <v>52</v>
      </c>
      <c r="D111" s="93" t="s">
        <v>112</v>
      </c>
      <c r="E111" s="94" t="s">
        <v>50</v>
      </c>
      <c r="F111" s="52" t="s">
        <v>113</v>
      </c>
      <c r="G111" s="95">
        <v>1</v>
      </c>
      <c r="H111" s="53" t="s">
        <v>114</v>
      </c>
      <c r="I111" s="58" t="s">
        <v>115</v>
      </c>
      <c r="J111" s="96">
        <v>4</v>
      </c>
      <c r="K111" s="61">
        <v>0</v>
      </c>
      <c r="L111" s="61">
        <f>4104436.07</f>
        <v>4104436.07</v>
      </c>
      <c r="M111" s="61">
        <v>0</v>
      </c>
      <c r="N111" s="61">
        <f t="shared" si="35"/>
        <v>4104436.07</v>
      </c>
      <c r="O111" s="61">
        <v>0</v>
      </c>
      <c r="P111" s="61">
        <v>0</v>
      </c>
      <c r="Q111" s="61">
        <v>0</v>
      </c>
      <c r="R111" s="61">
        <f t="shared" si="36"/>
        <v>4104436.07</v>
      </c>
      <c r="S111" s="61">
        <f>1263680.76</f>
        <v>1263680.76</v>
      </c>
      <c r="T111" s="62">
        <f t="shared" si="37"/>
        <v>0.30788170127351994</v>
      </c>
      <c r="U111" s="61">
        <f>822307.01</f>
        <v>822307.01</v>
      </c>
      <c r="V111" s="62">
        <f t="shared" si="38"/>
        <v>0.20034591743561986</v>
      </c>
      <c r="W111" s="61">
        <f>822307.01</f>
        <v>822307.01</v>
      </c>
      <c r="X111" s="63">
        <f t="shared" si="39"/>
        <v>0.20034591743561986</v>
      </c>
      <c r="Y111" s="64"/>
    </row>
    <row r="112" spans="1:25" s="65" customFormat="1" ht="39" customHeight="1" x14ac:dyDescent="0.2">
      <c r="A112" s="92" t="s">
        <v>110</v>
      </c>
      <c r="B112" s="52" t="s">
        <v>111</v>
      </c>
      <c r="C112" s="53" t="s">
        <v>52</v>
      </c>
      <c r="D112" s="93" t="s">
        <v>112</v>
      </c>
      <c r="E112" s="94" t="s">
        <v>50</v>
      </c>
      <c r="F112" s="52" t="s">
        <v>113</v>
      </c>
      <c r="G112" s="95">
        <v>1</v>
      </c>
      <c r="H112" s="97" t="s">
        <v>116</v>
      </c>
      <c r="I112" s="98" t="s">
        <v>117</v>
      </c>
      <c r="J112" s="96">
        <v>3</v>
      </c>
      <c r="K112" s="61">
        <f>150000+10000+50000+94765</f>
        <v>304765</v>
      </c>
      <c r="L112" s="61">
        <v>0</v>
      </c>
      <c r="M112" s="61">
        <f>40000+139000</f>
        <v>179000</v>
      </c>
      <c r="N112" s="61">
        <f t="shared" si="35"/>
        <v>125765</v>
      </c>
      <c r="O112" s="61">
        <v>0</v>
      </c>
      <c r="P112" s="61">
        <v>0</v>
      </c>
      <c r="Q112" s="61">
        <v>0</v>
      </c>
      <c r="R112" s="61">
        <f t="shared" si="36"/>
        <v>125765</v>
      </c>
      <c r="S112" s="61">
        <f>4855.5+6647.79+2766.77+3871.56+3792.4+3150.8+9524.52+13392.38+10444.41+19383.61</f>
        <v>77829.740000000005</v>
      </c>
      <c r="T112" s="62">
        <f>S112/R112</f>
        <v>0.61885055460581251</v>
      </c>
      <c r="U112" s="61">
        <f>4855.5+6647.79+2766.77+3871.56+3792.4+3150.8+9524.52+13392.38+10178.19+19117.39</f>
        <v>77297.3</v>
      </c>
      <c r="V112" s="62">
        <f t="shared" si="38"/>
        <v>0.61461694430087865</v>
      </c>
      <c r="W112" s="61">
        <f>4855.5+6647.79+2766.77+3871.56+3792.4+3150.8+9524.52+13392.38+10178.19+19117.39</f>
        <v>77297.3</v>
      </c>
      <c r="X112" s="63">
        <f t="shared" si="39"/>
        <v>0.61461694430087865</v>
      </c>
      <c r="Y112" s="64"/>
    </row>
    <row r="113" spans="1:25" s="65" customFormat="1" ht="39" customHeight="1" x14ac:dyDescent="0.2">
      <c r="A113" s="92" t="s">
        <v>110</v>
      </c>
      <c r="B113" s="52" t="s">
        <v>111</v>
      </c>
      <c r="C113" s="53" t="s">
        <v>52</v>
      </c>
      <c r="D113" s="93" t="s">
        <v>112</v>
      </c>
      <c r="E113" s="94" t="s">
        <v>50</v>
      </c>
      <c r="F113" s="52" t="s">
        <v>113</v>
      </c>
      <c r="G113" s="95">
        <v>1</v>
      </c>
      <c r="H113" s="87" t="s">
        <v>118</v>
      </c>
      <c r="I113" s="99" t="s">
        <v>119</v>
      </c>
      <c r="J113" s="96">
        <v>4</v>
      </c>
      <c r="K113" s="61">
        <v>0</v>
      </c>
      <c r="L113" s="61">
        <f>10000</f>
        <v>10000</v>
      </c>
      <c r="M113" s="61">
        <f>10000</f>
        <v>10000</v>
      </c>
      <c r="N113" s="61">
        <f t="shared" si="35"/>
        <v>0</v>
      </c>
      <c r="O113" s="61">
        <f>10000-10000</f>
        <v>0</v>
      </c>
      <c r="P113" s="61">
        <v>0</v>
      </c>
      <c r="Q113" s="61">
        <v>0</v>
      </c>
      <c r="R113" s="61">
        <f t="shared" si="36"/>
        <v>0</v>
      </c>
      <c r="S113" s="61">
        <v>0</v>
      </c>
      <c r="T113" s="62">
        <v>0</v>
      </c>
      <c r="U113" s="61">
        <v>0</v>
      </c>
      <c r="V113" s="62">
        <v>0</v>
      </c>
      <c r="W113" s="61">
        <v>0</v>
      </c>
      <c r="X113" s="63">
        <v>0</v>
      </c>
      <c r="Y113" s="64"/>
    </row>
    <row r="114" spans="1:25" s="42" customFormat="1" ht="9" customHeight="1" x14ac:dyDescent="0.2">
      <c r="A114" s="66"/>
      <c r="B114" s="67"/>
      <c r="C114" s="68"/>
      <c r="D114" s="69"/>
      <c r="E114" s="70"/>
      <c r="F114" s="71"/>
      <c r="G114" s="72"/>
      <c r="H114" s="68"/>
      <c r="I114" s="73"/>
      <c r="J114" s="74"/>
      <c r="K114" s="75"/>
      <c r="L114" s="76"/>
      <c r="M114" s="76"/>
      <c r="N114" s="75"/>
      <c r="O114" s="76"/>
      <c r="P114" s="76"/>
      <c r="Q114" s="76"/>
      <c r="R114" s="75"/>
      <c r="S114" s="76"/>
      <c r="T114" s="77"/>
      <c r="U114" s="76"/>
      <c r="V114" s="77"/>
      <c r="W114" s="76"/>
      <c r="X114" s="78"/>
    </row>
    <row r="115" spans="1:25" s="50" customFormat="1" ht="39" customHeight="1" x14ac:dyDescent="0.2">
      <c r="A115" s="100" t="s">
        <v>110</v>
      </c>
      <c r="B115" s="195" t="s">
        <v>111</v>
      </c>
      <c r="C115" s="196"/>
      <c r="D115" s="80" t="s">
        <v>120</v>
      </c>
      <c r="E115" s="81" t="s">
        <v>50</v>
      </c>
      <c r="F115" s="195" t="s">
        <v>121</v>
      </c>
      <c r="G115" s="197"/>
      <c r="H115" s="197"/>
      <c r="I115" s="197"/>
      <c r="J115" s="196"/>
      <c r="K115" s="101">
        <f>SUM(K116:K118)</f>
        <v>1018000</v>
      </c>
      <c r="L115" s="101">
        <f t="shared" ref="L115:S115" si="40">SUM(L116:L118)</f>
        <v>765000</v>
      </c>
      <c r="M115" s="101">
        <f t="shared" si="40"/>
        <v>0</v>
      </c>
      <c r="N115" s="101">
        <f t="shared" si="40"/>
        <v>1783000</v>
      </c>
      <c r="O115" s="101">
        <f t="shared" si="40"/>
        <v>0</v>
      </c>
      <c r="P115" s="101">
        <f t="shared" si="40"/>
        <v>0</v>
      </c>
      <c r="Q115" s="101">
        <f t="shared" si="40"/>
        <v>0</v>
      </c>
      <c r="R115" s="101">
        <f t="shared" si="40"/>
        <v>1783000</v>
      </c>
      <c r="S115" s="101">
        <f t="shared" si="40"/>
        <v>1518213.1900000002</v>
      </c>
      <c r="T115" s="83">
        <f>S115/R115</f>
        <v>0.85149365675827271</v>
      </c>
      <c r="U115" s="101">
        <f>SUM(U116:U118)</f>
        <v>1411897.1400000001</v>
      </c>
      <c r="V115" s="83">
        <f>U115/R115</f>
        <v>0.79186603477285478</v>
      </c>
      <c r="W115" s="101">
        <f>SUM(W116:W118)</f>
        <v>1411253.9600000002</v>
      </c>
      <c r="X115" s="84">
        <f>W115/R115</f>
        <v>0.7915053056646103</v>
      </c>
      <c r="Y115" s="49"/>
    </row>
    <row r="116" spans="1:25" s="65" customFormat="1" ht="39" customHeight="1" x14ac:dyDescent="0.2">
      <c r="A116" s="92" t="s">
        <v>110</v>
      </c>
      <c r="B116" s="52" t="s">
        <v>111</v>
      </c>
      <c r="C116" s="53" t="s">
        <v>52</v>
      </c>
      <c r="D116" s="54" t="s">
        <v>120</v>
      </c>
      <c r="E116" s="55" t="s">
        <v>50</v>
      </c>
      <c r="F116" s="56" t="s">
        <v>121</v>
      </c>
      <c r="G116" s="57">
        <v>1</v>
      </c>
      <c r="H116" s="53" t="s">
        <v>116</v>
      </c>
      <c r="I116" s="58" t="s">
        <v>117</v>
      </c>
      <c r="J116" s="96">
        <v>3</v>
      </c>
      <c r="K116" s="61">
        <f>695000+15000+300000+8000</f>
        <v>1018000</v>
      </c>
      <c r="L116" s="61">
        <f>300000+190000</f>
        <v>490000</v>
      </c>
      <c r="M116" s="61">
        <v>0</v>
      </c>
      <c r="N116" s="61">
        <f t="shared" si="35"/>
        <v>1508000</v>
      </c>
      <c r="O116" s="61">
        <v>0</v>
      </c>
      <c r="P116" s="61">
        <v>0</v>
      </c>
      <c r="Q116" s="61">
        <v>0</v>
      </c>
      <c r="R116" s="61">
        <f t="shared" si="36"/>
        <v>1508000</v>
      </c>
      <c r="S116" s="61">
        <f>73817.64+141140.96+108764.27+171405.32+152402.45+152675.12+148126.29+3613.19+27629.54+115150.25+152067.79</f>
        <v>1246792.82</v>
      </c>
      <c r="T116" s="62">
        <f>S116/R116</f>
        <v>0.82678568965517241</v>
      </c>
      <c r="U116" s="61">
        <f>71647.74+121806.26+105133.82+160867.37+149096.4+105360.42+187477.39+4053.19+37307.54+80851.57+125615.07</f>
        <v>1149216.77</v>
      </c>
      <c r="V116" s="62">
        <f>U116/R116</f>
        <v>0.7620800862068966</v>
      </c>
      <c r="W116" s="61">
        <f>71647.74+91329.96+135610.12+160867.37+134748.95+119346.67+132396.59+56808.15+39095.18+56479.65+150620.17</f>
        <v>1148950.55</v>
      </c>
      <c r="X116" s="63">
        <f>W116/R116</f>
        <v>0.76190354774535807</v>
      </c>
      <c r="Y116" s="64"/>
    </row>
    <row r="117" spans="1:25" s="65" customFormat="1" ht="39" customHeight="1" x14ac:dyDescent="0.2">
      <c r="A117" s="92" t="s">
        <v>110</v>
      </c>
      <c r="B117" s="52" t="s">
        <v>111</v>
      </c>
      <c r="C117" s="53" t="s">
        <v>52</v>
      </c>
      <c r="D117" s="54" t="s">
        <v>120</v>
      </c>
      <c r="E117" s="55" t="s">
        <v>50</v>
      </c>
      <c r="F117" s="56" t="s">
        <v>121</v>
      </c>
      <c r="G117" s="57">
        <v>1</v>
      </c>
      <c r="H117" s="87" t="s">
        <v>65</v>
      </c>
      <c r="I117" s="88" t="s">
        <v>66</v>
      </c>
      <c r="J117" s="96">
        <v>3</v>
      </c>
      <c r="K117" s="61">
        <v>0</v>
      </c>
      <c r="L117" s="61">
        <f>25000+200000</f>
        <v>225000</v>
      </c>
      <c r="M117" s="61">
        <v>0</v>
      </c>
      <c r="N117" s="61">
        <f t="shared" si="35"/>
        <v>225000</v>
      </c>
      <c r="O117" s="61">
        <f>25000-3110-21890</f>
        <v>0</v>
      </c>
      <c r="P117" s="61">
        <v>0</v>
      </c>
      <c r="Q117" s="61">
        <v>0</v>
      </c>
      <c r="R117" s="61">
        <f t="shared" si="36"/>
        <v>225000</v>
      </c>
      <c r="S117" s="61">
        <f>7983.45+118387.43+86347.22+9621.91-600</f>
        <v>221740.00999999998</v>
      </c>
      <c r="T117" s="62">
        <f>S117/R117</f>
        <v>0.98551115555555546</v>
      </c>
      <c r="U117" s="61">
        <f>7983.45+114707.48+83417.17+3271.91+5840</f>
        <v>215220.00999999998</v>
      </c>
      <c r="V117" s="62">
        <f>U117/R117</f>
        <v>0.95653337777777769</v>
      </c>
      <c r="W117" s="61">
        <f>7051.05+115639.88+83417.17+1744.15+6990.8</f>
        <v>214843.05</v>
      </c>
      <c r="X117" s="63">
        <f>W117/R117</f>
        <v>0.95485799999999998</v>
      </c>
      <c r="Y117" s="64"/>
    </row>
    <row r="118" spans="1:25" s="65" customFormat="1" ht="39" customHeight="1" x14ac:dyDescent="0.2">
      <c r="A118" s="92" t="s">
        <v>110</v>
      </c>
      <c r="B118" s="52" t="s">
        <v>111</v>
      </c>
      <c r="C118" s="53" t="s">
        <v>52</v>
      </c>
      <c r="D118" s="54" t="s">
        <v>120</v>
      </c>
      <c r="E118" s="55" t="s">
        <v>50</v>
      </c>
      <c r="F118" s="56" t="s">
        <v>121</v>
      </c>
      <c r="G118" s="57">
        <v>1</v>
      </c>
      <c r="H118" s="87" t="s">
        <v>118</v>
      </c>
      <c r="I118" s="99" t="s">
        <v>119</v>
      </c>
      <c r="J118" s="96">
        <v>3</v>
      </c>
      <c r="K118" s="61">
        <v>0</v>
      </c>
      <c r="L118" s="61">
        <f>50000</f>
        <v>50000</v>
      </c>
      <c r="M118" s="61">
        <v>0</v>
      </c>
      <c r="N118" s="61">
        <f t="shared" si="35"/>
        <v>50000</v>
      </c>
      <c r="O118" s="61">
        <v>0</v>
      </c>
      <c r="P118" s="61">
        <v>0</v>
      </c>
      <c r="Q118" s="61">
        <v>0</v>
      </c>
      <c r="R118" s="61">
        <f t="shared" si="36"/>
        <v>50000</v>
      </c>
      <c r="S118" s="61">
        <f>38771.8+10832.69+75.87</f>
        <v>49680.360000000008</v>
      </c>
      <c r="T118" s="62">
        <f>S118/R118</f>
        <v>0.99360720000000013</v>
      </c>
      <c r="U118" s="61">
        <f>36661.8+10722.69-301.09+376.96</f>
        <v>47460.360000000008</v>
      </c>
      <c r="V118" s="62">
        <f>U118/R118</f>
        <v>0.94920720000000014</v>
      </c>
      <c r="W118" s="61">
        <f>36661.8+10722.69-301.09+376.96</f>
        <v>47460.360000000008</v>
      </c>
      <c r="X118" s="63">
        <f>W118/R118</f>
        <v>0.94920720000000014</v>
      </c>
      <c r="Y118" s="64"/>
    </row>
    <row r="119" spans="1:25" s="42" customFormat="1" ht="9" customHeight="1" x14ac:dyDescent="0.2">
      <c r="A119" s="66"/>
      <c r="B119" s="67"/>
      <c r="C119" s="68"/>
      <c r="D119" s="69"/>
      <c r="E119" s="70"/>
      <c r="F119" s="71"/>
      <c r="G119" s="72"/>
      <c r="H119" s="68"/>
      <c r="I119" s="73"/>
      <c r="J119" s="74"/>
      <c r="K119" s="75"/>
      <c r="L119" s="76"/>
      <c r="M119" s="76"/>
      <c r="N119" s="75"/>
      <c r="O119" s="76"/>
      <c r="P119" s="76"/>
      <c r="Q119" s="76"/>
      <c r="R119" s="75"/>
      <c r="S119" s="76"/>
      <c r="T119" s="77"/>
      <c r="U119" s="76"/>
      <c r="V119" s="77"/>
      <c r="W119" s="76"/>
      <c r="X119" s="78"/>
    </row>
    <row r="120" spans="1:25" s="50" customFormat="1" ht="39" customHeight="1" x14ac:dyDescent="0.2">
      <c r="A120" s="100" t="s">
        <v>110</v>
      </c>
      <c r="B120" s="195" t="s">
        <v>111</v>
      </c>
      <c r="C120" s="196"/>
      <c r="D120" s="80" t="s">
        <v>122</v>
      </c>
      <c r="E120" s="81" t="s">
        <v>50</v>
      </c>
      <c r="F120" s="195" t="s">
        <v>123</v>
      </c>
      <c r="G120" s="197"/>
      <c r="H120" s="197"/>
      <c r="I120" s="197"/>
      <c r="J120" s="196"/>
      <c r="K120" s="82">
        <f>K121</f>
        <v>100000</v>
      </c>
      <c r="L120" s="82">
        <f t="shared" ref="L120:S120" si="41">L121</f>
        <v>0</v>
      </c>
      <c r="M120" s="82">
        <f t="shared" si="41"/>
        <v>40000</v>
      </c>
      <c r="N120" s="82">
        <f t="shared" si="41"/>
        <v>60000</v>
      </c>
      <c r="O120" s="82">
        <f t="shared" si="41"/>
        <v>0</v>
      </c>
      <c r="P120" s="82">
        <f t="shared" si="41"/>
        <v>0</v>
      </c>
      <c r="Q120" s="82">
        <f t="shared" si="41"/>
        <v>0</v>
      </c>
      <c r="R120" s="82">
        <f t="shared" si="41"/>
        <v>60000</v>
      </c>
      <c r="S120" s="82">
        <f t="shared" si="41"/>
        <v>45038.479999999996</v>
      </c>
      <c r="T120" s="83">
        <f>S120/R120</f>
        <v>0.75064133333333327</v>
      </c>
      <c r="U120" s="82">
        <f>U121</f>
        <v>45038.479999999996</v>
      </c>
      <c r="V120" s="83">
        <f>U120/R120</f>
        <v>0.75064133333333327</v>
      </c>
      <c r="W120" s="82">
        <f>W121</f>
        <v>45038.479999999996</v>
      </c>
      <c r="X120" s="84">
        <f>W120/R120</f>
        <v>0.75064133333333327</v>
      </c>
      <c r="Y120" s="49"/>
    </row>
    <row r="121" spans="1:25" s="65" customFormat="1" ht="39" customHeight="1" x14ac:dyDescent="0.2">
      <c r="A121" s="92" t="s">
        <v>110</v>
      </c>
      <c r="B121" s="52" t="s">
        <v>111</v>
      </c>
      <c r="C121" s="53" t="s">
        <v>52</v>
      </c>
      <c r="D121" s="54" t="s">
        <v>122</v>
      </c>
      <c r="E121" s="55" t="s">
        <v>50</v>
      </c>
      <c r="F121" s="56" t="s">
        <v>123</v>
      </c>
      <c r="G121" s="57">
        <v>1</v>
      </c>
      <c r="H121" s="53" t="s">
        <v>116</v>
      </c>
      <c r="I121" s="58" t="s">
        <v>117</v>
      </c>
      <c r="J121" s="59">
        <v>3</v>
      </c>
      <c r="K121" s="60">
        <f>10000+20000+30000+34000+6000</f>
        <v>100000</v>
      </c>
      <c r="L121" s="61">
        <v>0</v>
      </c>
      <c r="M121" s="61">
        <f>40000</f>
        <v>40000</v>
      </c>
      <c r="N121" s="60">
        <f t="shared" si="35"/>
        <v>60000</v>
      </c>
      <c r="O121" s="61">
        <f>45000-45000</f>
        <v>0</v>
      </c>
      <c r="P121" s="61">
        <v>0</v>
      </c>
      <c r="Q121" s="61">
        <v>0</v>
      </c>
      <c r="R121" s="60">
        <f t="shared" si="36"/>
        <v>60000</v>
      </c>
      <c r="S121" s="61">
        <f>886.5+1320-230+2635+39821.71+605.27</f>
        <v>45038.479999999996</v>
      </c>
      <c r="T121" s="62">
        <f>S121/R121</f>
        <v>0.75064133333333327</v>
      </c>
      <c r="U121" s="61">
        <f>886.5+1320-230+2635+38926.71+1500.27</f>
        <v>45038.479999999996</v>
      </c>
      <c r="V121" s="62">
        <f>U121/R121</f>
        <v>0.75064133333333327</v>
      </c>
      <c r="W121" s="61">
        <f>886.5+1157.59+162.41-230+2635+38926.71+1500.27</f>
        <v>45038.479999999996</v>
      </c>
      <c r="X121" s="63">
        <f>W121/R121</f>
        <v>0.75064133333333327</v>
      </c>
      <c r="Y121" s="64"/>
    </row>
    <row r="122" spans="1:25" s="42" customFormat="1" ht="9" customHeight="1" x14ac:dyDescent="0.2">
      <c r="A122" s="66"/>
      <c r="B122" s="67"/>
      <c r="C122" s="68"/>
      <c r="D122" s="69"/>
      <c r="E122" s="70"/>
      <c r="F122" s="71"/>
      <c r="G122" s="72"/>
      <c r="H122" s="68"/>
      <c r="I122" s="73"/>
      <c r="J122" s="74"/>
      <c r="K122" s="75"/>
      <c r="L122" s="76"/>
      <c r="M122" s="76"/>
      <c r="N122" s="75"/>
      <c r="O122" s="76"/>
      <c r="P122" s="76"/>
      <c r="Q122" s="76"/>
      <c r="R122" s="75"/>
      <c r="S122" s="76"/>
      <c r="T122" s="77"/>
      <c r="U122" s="76"/>
      <c r="V122" s="77"/>
      <c r="W122" s="76"/>
      <c r="X122" s="78"/>
    </row>
    <row r="123" spans="1:25" s="105" customFormat="1" ht="39" customHeight="1" x14ac:dyDescent="0.2">
      <c r="A123" s="102" t="s">
        <v>110</v>
      </c>
      <c r="B123" s="192" t="s">
        <v>111</v>
      </c>
      <c r="C123" s="193"/>
      <c r="D123" s="80" t="s">
        <v>124</v>
      </c>
      <c r="E123" s="103" t="s">
        <v>50</v>
      </c>
      <c r="F123" s="192" t="s">
        <v>125</v>
      </c>
      <c r="G123" s="194"/>
      <c r="H123" s="194"/>
      <c r="I123" s="194"/>
      <c r="J123" s="193"/>
      <c r="K123" s="82">
        <f t="shared" ref="K123:S123" si="42">SUM(K124:K126)</f>
        <v>255000</v>
      </c>
      <c r="L123" s="82">
        <f t="shared" si="42"/>
        <v>235000</v>
      </c>
      <c r="M123" s="82">
        <f t="shared" si="42"/>
        <v>0</v>
      </c>
      <c r="N123" s="82">
        <f t="shared" si="42"/>
        <v>490000</v>
      </c>
      <c r="O123" s="82">
        <f t="shared" si="42"/>
        <v>0</v>
      </c>
      <c r="P123" s="82">
        <f t="shared" si="42"/>
        <v>0</v>
      </c>
      <c r="Q123" s="82">
        <f t="shared" si="42"/>
        <v>0</v>
      </c>
      <c r="R123" s="82">
        <f t="shared" si="42"/>
        <v>490000</v>
      </c>
      <c r="S123" s="82">
        <f t="shared" si="42"/>
        <v>425346.92</v>
      </c>
      <c r="T123" s="83">
        <f>S123/R123</f>
        <v>0.86805493877551021</v>
      </c>
      <c r="U123" s="82">
        <f>SUM(U124:U126)</f>
        <v>422876.9</v>
      </c>
      <c r="V123" s="83">
        <f>U123/R123</f>
        <v>0.86301408163265314</v>
      </c>
      <c r="W123" s="82">
        <f>SUM(W124:W126)</f>
        <v>422876.9</v>
      </c>
      <c r="X123" s="84">
        <f>W123/R123</f>
        <v>0.86301408163265314</v>
      </c>
      <c r="Y123" s="104"/>
    </row>
    <row r="124" spans="1:25" s="105" customFormat="1" ht="39" customHeight="1" x14ac:dyDescent="0.2">
      <c r="A124" s="92" t="s">
        <v>110</v>
      </c>
      <c r="B124" s="52" t="s">
        <v>111</v>
      </c>
      <c r="C124" s="53" t="s">
        <v>52</v>
      </c>
      <c r="D124" s="54" t="s">
        <v>124</v>
      </c>
      <c r="E124" s="55" t="s">
        <v>50</v>
      </c>
      <c r="F124" s="56" t="s">
        <v>125</v>
      </c>
      <c r="G124" s="57">
        <v>1</v>
      </c>
      <c r="H124" s="53" t="s">
        <v>116</v>
      </c>
      <c r="I124" s="58" t="s">
        <v>117</v>
      </c>
      <c r="J124" s="59">
        <v>3</v>
      </c>
      <c r="K124" s="60">
        <f>230000+15000+10000</f>
        <v>255000</v>
      </c>
      <c r="L124" s="61">
        <v>0</v>
      </c>
      <c r="M124" s="61">
        <v>0</v>
      </c>
      <c r="N124" s="60">
        <f t="shared" ref="N124:N125" si="43">K124+L124-M124</f>
        <v>255000</v>
      </c>
      <c r="O124" s="61">
        <v>0</v>
      </c>
      <c r="P124" s="61">
        <v>0</v>
      </c>
      <c r="Q124" s="61">
        <v>0</v>
      </c>
      <c r="R124" s="60">
        <f t="shared" ref="R124:R125" si="44">N124-O124+P124+Q124</f>
        <v>255000</v>
      </c>
      <c r="S124" s="61">
        <f>20054.45+37302+47687+22829.33+70724.35+48576+7693.15-0.6-79.18</f>
        <v>254786.5</v>
      </c>
      <c r="T124" s="62">
        <f>S124/R124</f>
        <v>0.99916274509803926</v>
      </c>
      <c r="U124" s="61">
        <f>19297.05+37843+38872.85+31643.48+62721.95+45749.7+18521.85-0.6-79.18</f>
        <v>254570.09999999998</v>
      </c>
      <c r="V124" s="62">
        <f>U124/R124</f>
        <v>0.99831411764705869</v>
      </c>
      <c r="W124" s="61">
        <f>19297.05+37713.8+39002.05+31643.48+53915.8+54555.85+18521.85-0.6-79.18</f>
        <v>254570.1</v>
      </c>
      <c r="X124" s="63">
        <f>W124/R124</f>
        <v>0.9983141176470588</v>
      </c>
      <c r="Y124" s="104"/>
    </row>
    <row r="125" spans="1:25" s="105" customFormat="1" ht="39" customHeight="1" x14ac:dyDescent="0.2">
      <c r="A125" s="92" t="s">
        <v>110</v>
      </c>
      <c r="B125" s="52" t="s">
        <v>111</v>
      </c>
      <c r="C125" s="53" t="s">
        <v>52</v>
      </c>
      <c r="D125" s="54" t="s">
        <v>124</v>
      </c>
      <c r="E125" s="55" t="s">
        <v>50</v>
      </c>
      <c r="F125" s="56" t="s">
        <v>125</v>
      </c>
      <c r="G125" s="57">
        <v>1</v>
      </c>
      <c r="H125" s="53" t="s">
        <v>65</v>
      </c>
      <c r="I125" s="88" t="s">
        <v>66</v>
      </c>
      <c r="J125" s="59">
        <v>3</v>
      </c>
      <c r="K125" s="60">
        <v>0</v>
      </c>
      <c r="L125" s="61">
        <f>95000</f>
        <v>95000</v>
      </c>
      <c r="M125" s="61">
        <v>0</v>
      </c>
      <c r="N125" s="60">
        <f t="shared" si="43"/>
        <v>95000</v>
      </c>
      <c r="O125" s="61">
        <v>0</v>
      </c>
      <c r="P125" s="61">
        <v>0</v>
      </c>
      <c r="Q125" s="61">
        <v>0</v>
      </c>
      <c r="R125" s="60">
        <f t="shared" si="44"/>
        <v>95000</v>
      </c>
      <c r="S125" s="61">
        <f>11515.05+38115.8+28284.12+17052.15-230.76</f>
        <v>94736.36</v>
      </c>
      <c r="T125" s="62">
        <f>S125/R125</f>
        <v>0.99722484210526319</v>
      </c>
      <c r="U125" s="61">
        <f>11515.05+38115.8+28284.12+16924.44-230.76</f>
        <v>94608.650000000009</v>
      </c>
      <c r="V125" s="62">
        <f>U125/R125</f>
        <v>0.9958805263157896</v>
      </c>
      <c r="W125" s="61">
        <f>11515.05+38115.8+27517.46+17691.1-230.76</f>
        <v>94608.650000000009</v>
      </c>
      <c r="X125" s="63">
        <f>W125/R125</f>
        <v>0.9958805263157896</v>
      </c>
      <c r="Y125" s="104"/>
    </row>
    <row r="126" spans="1:25" s="65" customFormat="1" ht="39" customHeight="1" x14ac:dyDescent="0.2">
      <c r="A126" s="92" t="s">
        <v>110</v>
      </c>
      <c r="B126" s="52" t="s">
        <v>111</v>
      </c>
      <c r="C126" s="53" t="s">
        <v>52</v>
      </c>
      <c r="D126" s="54" t="s">
        <v>124</v>
      </c>
      <c r="E126" s="55" t="s">
        <v>50</v>
      </c>
      <c r="F126" s="56" t="s">
        <v>125</v>
      </c>
      <c r="G126" s="57">
        <v>1</v>
      </c>
      <c r="H126" s="53" t="s">
        <v>118</v>
      </c>
      <c r="I126" s="99" t="s">
        <v>119</v>
      </c>
      <c r="J126" s="59">
        <v>3</v>
      </c>
      <c r="K126" s="60">
        <v>0</v>
      </c>
      <c r="L126" s="61">
        <f>40000+100000</f>
        <v>140000</v>
      </c>
      <c r="M126" s="61">
        <v>0</v>
      </c>
      <c r="N126" s="60">
        <f t="shared" si="35"/>
        <v>140000</v>
      </c>
      <c r="O126" s="61">
        <v>0</v>
      </c>
      <c r="P126" s="61">
        <v>0</v>
      </c>
      <c r="Q126" s="61">
        <v>0</v>
      </c>
      <c r="R126" s="60">
        <f t="shared" si="36"/>
        <v>140000</v>
      </c>
      <c r="S126" s="61">
        <f>39909.99+35914.07</f>
        <v>75824.06</v>
      </c>
      <c r="T126" s="62">
        <f>S126/R126</f>
        <v>0.54160042857142854</v>
      </c>
      <c r="U126" s="61">
        <f>39909.99+33788.16</f>
        <v>73698.149999999994</v>
      </c>
      <c r="V126" s="62">
        <f>U126/R126</f>
        <v>0.52641535714285714</v>
      </c>
      <c r="W126" s="61">
        <f>39909.99+33788.16</f>
        <v>73698.149999999994</v>
      </c>
      <c r="X126" s="63">
        <f>W126/R126</f>
        <v>0.52641535714285714</v>
      </c>
      <c r="Y126" s="64"/>
    </row>
    <row r="127" spans="1:25" s="42" customFormat="1" ht="9" customHeight="1" x14ac:dyDescent="0.2">
      <c r="A127" s="66"/>
      <c r="B127" s="67"/>
      <c r="C127" s="68"/>
      <c r="D127" s="69"/>
      <c r="E127" s="70"/>
      <c r="F127" s="71"/>
      <c r="G127" s="72"/>
      <c r="H127" s="68"/>
      <c r="I127" s="73"/>
      <c r="J127" s="74"/>
      <c r="K127" s="75"/>
      <c r="L127" s="76"/>
      <c r="M127" s="76"/>
      <c r="N127" s="75"/>
      <c r="O127" s="76"/>
      <c r="P127" s="76"/>
      <c r="Q127" s="76"/>
      <c r="R127" s="75"/>
      <c r="S127" s="76"/>
      <c r="T127" s="77"/>
      <c r="U127" s="76"/>
      <c r="V127" s="77"/>
      <c r="W127" s="76"/>
      <c r="X127" s="78"/>
    </row>
    <row r="128" spans="1:25" s="50" customFormat="1" ht="39" customHeight="1" x14ac:dyDescent="0.2">
      <c r="A128" s="100" t="s">
        <v>110</v>
      </c>
      <c r="B128" s="195" t="s">
        <v>111</v>
      </c>
      <c r="C128" s="196"/>
      <c r="D128" s="80" t="s">
        <v>126</v>
      </c>
      <c r="E128" s="81" t="s">
        <v>50</v>
      </c>
      <c r="F128" s="195" t="s">
        <v>127</v>
      </c>
      <c r="G128" s="197"/>
      <c r="H128" s="197"/>
      <c r="I128" s="197"/>
      <c r="J128" s="196"/>
      <c r="K128" s="82">
        <f t="shared" ref="K128:P128" si="45">SUM(K129:K130)</f>
        <v>95000</v>
      </c>
      <c r="L128" s="82">
        <f t="shared" si="45"/>
        <v>120000</v>
      </c>
      <c r="M128" s="82">
        <f t="shared" si="45"/>
        <v>0</v>
      </c>
      <c r="N128" s="82">
        <f t="shared" si="45"/>
        <v>215000</v>
      </c>
      <c r="O128" s="82">
        <f t="shared" si="45"/>
        <v>0</v>
      </c>
      <c r="P128" s="82">
        <f t="shared" si="45"/>
        <v>0</v>
      </c>
      <c r="Q128" s="82">
        <f t="shared" ref="Q128:S128" si="46">SUM(Q129:Q130)</f>
        <v>0</v>
      </c>
      <c r="R128" s="82">
        <f>SUM(R129:R130)</f>
        <v>215000</v>
      </c>
      <c r="S128" s="82">
        <f t="shared" si="46"/>
        <v>212744.21999999997</v>
      </c>
      <c r="T128" s="83">
        <f>S128/R128</f>
        <v>0.98950799999999983</v>
      </c>
      <c r="U128" s="82">
        <f>SUM(U129:U130)</f>
        <v>210275.61</v>
      </c>
      <c r="V128" s="83">
        <f>U128/R128</f>
        <v>0.97802609302325572</v>
      </c>
      <c r="W128" s="82">
        <f>SUM(W129:W130)</f>
        <v>210275.61</v>
      </c>
      <c r="X128" s="84">
        <f>W128/R128</f>
        <v>0.97802609302325572</v>
      </c>
      <c r="Y128" s="49"/>
    </row>
    <row r="129" spans="1:25" s="65" customFormat="1" ht="39" customHeight="1" x14ac:dyDescent="0.2">
      <c r="A129" s="92" t="s">
        <v>110</v>
      </c>
      <c r="B129" s="52" t="s">
        <v>111</v>
      </c>
      <c r="C129" s="53" t="s">
        <v>52</v>
      </c>
      <c r="D129" s="54" t="s">
        <v>126</v>
      </c>
      <c r="E129" s="55" t="s">
        <v>50</v>
      </c>
      <c r="F129" s="56" t="s">
        <v>127</v>
      </c>
      <c r="G129" s="57">
        <v>1</v>
      </c>
      <c r="H129" s="53" t="s">
        <v>116</v>
      </c>
      <c r="I129" s="58" t="s">
        <v>117</v>
      </c>
      <c r="J129" s="59">
        <v>3</v>
      </c>
      <c r="K129" s="60">
        <f>75000+10000+5000+5000</f>
        <v>95000</v>
      </c>
      <c r="L129" s="61">
        <f>20000</f>
        <v>20000</v>
      </c>
      <c r="M129" s="61">
        <v>0</v>
      </c>
      <c r="N129" s="60">
        <f>K129+L129-M129</f>
        <v>115000</v>
      </c>
      <c r="O129" s="61">
        <v>0</v>
      </c>
      <c r="P129" s="61">
        <v>0</v>
      </c>
      <c r="Q129" s="61">
        <v>0</v>
      </c>
      <c r="R129" s="60">
        <f>N129-O129+P129+Q129</f>
        <v>115000</v>
      </c>
      <c r="S129" s="61">
        <f>2469.8+11500+12053.23+17173.98+28192.97+11784.72+909.5+1312+240+6547.63+21779.33</f>
        <v>113963.16</v>
      </c>
      <c r="T129" s="62">
        <f>S129/R129</f>
        <v>0.99098399999999998</v>
      </c>
      <c r="U129" s="61">
        <f>2469.8+12053.23+22923.98+33942.97+11784.72+909.5+1312+240+6547.63+21779.33</f>
        <v>113963.16</v>
      </c>
      <c r="V129" s="62">
        <f>U129/R129</f>
        <v>0.99098399999999998</v>
      </c>
      <c r="W129" s="61">
        <f>2469.8+12053.23+17173.98+39692.97+11784.72+909.5+1312+240+6547.63+21779.33</f>
        <v>113963.16</v>
      </c>
      <c r="X129" s="63">
        <f>W129/R129</f>
        <v>0.99098399999999998</v>
      </c>
      <c r="Y129" s="64"/>
    </row>
    <row r="130" spans="1:25" s="65" customFormat="1" ht="39" customHeight="1" x14ac:dyDescent="0.2">
      <c r="A130" s="92" t="s">
        <v>110</v>
      </c>
      <c r="B130" s="52" t="s">
        <v>111</v>
      </c>
      <c r="C130" s="53" t="s">
        <v>52</v>
      </c>
      <c r="D130" s="54" t="s">
        <v>126</v>
      </c>
      <c r="E130" s="55" t="s">
        <v>50</v>
      </c>
      <c r="F130" s="56" t="s">
        <v>127</v>
      </c>
      <c r="G130" s="57">
        <v>1</v>
      </c>
      <c r="H130" s="106" t="s">
        <v>118</v>
      </c>
      <c r="I130" s="99" t="s">
        <v>119</v>
      </c>
      <c r="J130" s="59">
        <v>3</v>
      </c>
      <c r="K130" s="60">
        <v>0</v>
      </c>
      <c r="L130" s="61">
        <f>100000</f>
        <v>100000</v>
      </c>
      <c r="M130" s="61">
        <v>0</v>
      </c>
      <c r="N130" s="60">
        <f>K130+L130-M130</f>
        <v>100000</v>
      </c>
      <c r="O130" s="61">
        <f>100000-100000</f>
        <v>0</v>
      </c>
      <c r="P130" s="61">
        <v>0</v>
      </c>
      <c r="Q130" s="61">
        <v>0</v>
      </c>
      <c r="R130" s="60">
        <f>N130-O130+P130+Q130</f>
        <v>100000</v>
      </c>
      <c r="S130" s="61">
        <f>44481.02+31057.5+3865.73+19376.81</f>
        <v>98781.059999999983</v>
      </c>
      <c r="T130" s="62">
        <f>S130/R130</f>
        <v>0.98781059999999987</v>
      </c>
      <c r="U130" s="61">
        <f>44481.02+28588.89+3865.73+19376.81</f>
        <v>96312.45</v>
      </c>
      <c r="V130" s="62">
        <f>U130/R130</f>
        <v>0.96312449999999994</v>
      </c>
      <c r="W130" s="61">
        <f>44481.02+28588.89+3865.73+19376.81</f>
        <v>96312.45</v>
      </c>
      <c r="X130" s="63">
        <f>W130/R130</f>
        <v>0.96312449999999994</v>
      </c>
      <c r="Y130" s="64"/>
    </row>
    <row r="131" spans="1:25" s="42" customFormat="1" ht="9" customHeight="1" x14ac:dyDescent="0.2">
      <c r="A131" s="66"/>
      <c r="B131" s="67"/>
      <c r="C131" s="68"/>
      <c r="D131" s="69"/>
      <c r="E131" s="70"/>
      <c r="F131" s="71"/>
      <c r="G131" s="72"/>
      <c r="H131" s="68"/>
      <c r="I131" s="73"/>
      <c r="J131" s="74"/>
      <c r="K131" s="75"/>
      <c r="L131" s="76"/>
      <c r="M131" s="76"/>
      <c r="N131" s="75"/>
      <c r="O131" s="76"/>
      <c r="P131" s="76"/>
      <c r="Q131" s="76"/>
      <c r="R131" s="75"/>
      <c r="S131" s="76"/>
      <c r="T131" s="77"/>
      <c r="U131" s="76"/>
      <c r="V131" s="77"/>
      <c r="W131" s="76"/>
      <c r="X131" s="78"/>
    </row>
    <row r="132" spans="1:25" s="50" customFormat="1" ht="39" customHeight="1" x14ac:dyDescent="0.2">
      <c r="A132" s="100" t="s">
        <v>110</v>
      </c>
      <c r="B132" s="195" t="s">
        <v>111</v>
      </c>
      <c r="C132" s="196"/>
      <c r="D132" s="80" t="s">
        <v>128</v>
      </c>
      <c r="E132" s="81" t="s">
        <v>50</v>
      </c>
      <c r="F132" s="195" t="s">
        <v>129</v>
      </c>
      <c r="G132" s="197"/>
      <c r="H132" s="197"/>
      <c r="I132" s="197"/>
      <c r="J132" s="196"/>
      <c r="K132" s="82">
        <f t="shared" ref="K132:S132" si="47">SUM(K133:K134)</f>
        <v>25000</v>
      </c>
      <c r="L132" s="82">
        <f t="shared" si="47"/>
        <v>30000</v>
      </c>
      <c r="M132" s="82">
        <f t="shared" si="47"/>
        <v>0</v>
      </c>
      <c r="N132" s="82">
        <f t="shared" si="47"/>
        <v>55000</v>
      </c>
      <c r="O132" s="82">
        <f t="shared" si="47"/>
        <v>0</v>
      </c>
      <c r="P132" s="82">
        <f t="shared" si="47"/>
        <v>0</v>
      </c>
      <c r="Q132" s="82">
        <f t="shared" si="47"/>
        <v>0</v>
      </c>
      <c r="R132" s="82">
        <f t="shared" si="47"/>
        <v>55000</v>
      </c>
      <c r="S132" s="82">
        <f t="shared" si="47"/>
        <v>19409.920000000002</v>
      </c>
      <c r="T132" s="83">
        <f>S132/R132</f>
        <v>0.35290763636363642</v>
      </c>
      <c r="U132" s="82">
        <f>SUM(U133:U134)</f>
        <v>19409.920000000002</v>
      </c>
      <c r="V132" s="83">
        <f>U132/R132</f>
        <v>0.35290763636363642</v>
      </c>
      <c r="W132" s="82">
        <f>SUM(W133:W134)</f>
        <v>19409.920000000002</v>
      </c>
      <c r="X132" s="84">
        <f>W132/R132</f>
        <v>0.35290763636363642</v>
      </c>
      <c r="Y132" s="49"/>
    </row>
    <row r="133" spans="1:25" s="50" customFormat="1" ht="39" customHeight="1" x14ac:dyDescent="0.2">
      <c r="A133" s="92" t="s">
        <v>110</v>
      </c>
      <c r="B133" s="52" t="s">
        <v>111</v>
      </c>
      <c r="C133" s="53" t="s">
        <v>52</v>
      </c>
      <c r="D133" s="54" t="s">
        <v>128</v>
      </c>
      <c r="E133" s="55" t="s">
        <v>50</v>
      </c>
      <c r="F133" s="56" t="s">
        <v>129</v>
      </c>
      <c r="G133" s="57">
        <v>1</v>
      </c>
      <c r="H133" s="53" t="s">
        <v>116</v>
      </c>
      <c r="I133" s="58" t="s">
        <v>117</v>
      </c>
      <c r="J133" s="59">
        <v>3</v>
      </c>
      <c r="K133" s="60">
        <f>15000+10000</f>
        <v>25000</v>
      </c>
      <c r="L133" s="61">
        <v>0</v>
      </c>
      <c r="M133" s="61">
        <v>0</v>
      </c>
      <c r="N133" s="60">
        <f t="shared" ref="N133" si="48">K133+L133-M133</f>
        <v>25000</v>
      </c>
      <c r="O133" s="61">
        <v>0</v>
      </c>
      <c r="P133" s="61">
        <v>0</v>
      </c>
      <c r="Q133" s="61">
        <v>0</v>
      </c>
      <c r="R133" s="60">
        <f t="shared" ref="R133" si="49">N133-O133+P133+Q133</f>
        <v>25000</v>
      </c>
      <c r="S133" s="61">
        <f>3325.41+2700+9841.21+3865.5-2093.85</f>
        <v>17638.27</v>
      </c>
      <c r="T133" s="62">
        <f>S133/R133</f>
        <v>0.70553080000000001</v>
      </c>
      <c r="U133" s="61">
        <f>3325.41+2700+6543.85+7162.86-2093.85</f>
        <v>17638.27</v>
      </c>
      <c r="V133" s="62">
        <f>U133/R133</f>
        <v>0.70553080000000001</v>
      </c>
      <c r="W133" s="61">
        <f>3325.41+2700+6543.85+7162.86-2093.85</f>
        <v>17638.27</v>
      </c>
      <c r="X133" s="63">
        <f>W133/R133</f>
        <v>0.70553080000000001</v>
      </c>
      <c r="Y133" s="49"/>
    </row>
    <row r="134" spans="1:25" s="65" customFormat="1" ht="39" customHeight="1" x14ac:dyDescent="0.2">
      <c r="A134" s="92" t="s">
        <v>110</v>
      </c>
      <c r="B134" s="52" t="s">
        <v>111</v>
      </c>
      <c r="C134" s="53" t="s">
        <v>52</v>
      </c>
      <c r="D134" s="54" t="s">
        <v>128</v>
      </c>
      <c r="E134" s="55" t="s">
        <v>50</v>
      </c>
      <c r="F134" s="56" t="s">
        <v>129</v>
      </c>
      <c r="G134" s="57">
        <v>1</v>
      </c>
      <c r="H134" s="53" t="s">
        <v>65</v>
      </c>
      <c r="I134" s="88" t="s">
        <v>66</v>
      </c>
      <c r="J134" s="59">
        <v>3</v>
      </c>
      <c r="K134" s="60">
        <v>0</v>
      </c>
      <c r="L134" s="61">
        <f>30000</f>
        <v>30000</v>
      </c>
      <c r="M134" s="61">
        <v>0</v>
      </c>
      <c r="N134" s="60">
        <f t="shared" si="35"/>
        <v>30000</v>
      </c>
      <c r="O134" s="61">
        <v>0</v>
      </c>
      <c r="P134" s="61">
        <v>0</v>
      </c>
      <c r="Q134" s="61">
        <v>0</v>
      </c>
      <c r="R134" s="60">
        <f t="shared" si="36"/>
        <v>30000</v>
      </c>
      <c r="S134" s="61">
        <f>1771.65</f>
        <v>1771.65</v>
      </c>
      <c r="T134" s="62">
        <f>S134/R134</f>
        <v>5.9055000000000003E-2</v>
      </c>
      <c r="U134" s="61">
        <f>1771.65</f>
        <v>1771.65</v>
      </c>
      <c r="V134" s="62">
        <f>U134/R134</f>
        <v>5.9055000000000003E-2</v>
      </c>
      <c r="W134" s="61">
        <f>1771.65</f>
        <v>1771.65</v>
      </c>
      <c r="X134" s="63">
        <f>W134/R134</f>
        <v>5.9055000000000003E-2</v>
      </c>
      <c r="Y134" s="64"/>
    </row>
    <row r="135" spans="1:25" s="42" customFormat="1" ht="9" customHeight="1" x14ac:dyDescent="0.2">
      <c r="A135" s="66"/>
      <c r="B135" s="67"/>
      <c r="C135" s="68"/>
      <c r="D135" s="69"/>
      <c r="E135" s="70"/>
      <c r="F135" s="71"/>
      <c r="G135" s="72"/>
      <c r="H135" s="68"/>
      <c r="I135" s="73"/>
      <c r="J135" s="74"/>
      <c r="K135" s="75"/>
      <c r="L135" s="76"/>
      <c r="M135" s="76"/>
      <c r="N135" s="75"/>
      <c r="O135" s="76"/>
      <c r="P135" s="76"/>
      <c r="Q135" s="76"/>
      <c r="R135" s="75"/>
      <c r="S135" s="76"/>
      <c r="T135" s="77"/>
      <c r="U135" s="76"/>
      <c r="V135" s="77"/>
      <c r="W135" s="76"/>
      <c r="X135" s="78"/>
    </row>
    <row r="136" spans="1:25" s="50" customFormat="1" ht="39" customHeight="1" x14ac:dyDescent="0.2">
      <c r="A136" s="100" t="s">
        <v>110</v>
      </c>
      <c r="B136" s="195" t="s">
        <v>111</v>
      </c>
      <c r="C136" s="196"/>
      <c r="D136" s="80" t="s">
        <v>130</v>
      </c>
      <c r="E136" s="81" t="s">
        <v>50</v>
      </c>
      <c r="F136" s="195" t="s">
        <v>131</v>
      </c>
      <c r="G136" s="197"/>
      <c r="H136" s="197"/>
      <c r="I136" s="197"/>
      <c r="J136" s="196"/>
      <c r="K136" s="82">
        <f>K137</f>
        <v>25000</v>
      </c>
      <c r="L136" s="82">
        <f t="shared" ref="L136:S136" si="50">L137</f>
        <v>0</v>
      </c>
      <c r="M136" s="82">
        <f t="shared" si="50"/>
        <v>0</v>
      </c>
      <c r="N136" s="82">
        <f t="shared" si="50"/>
        <v>25000</v>
      </c>
      <c r="O136" s="82">
        <f t="shared" si="50"/>
        <v>0</v>
      </c>
      <c r="P136" s="82">
        <f t="shared" si="50"/>
        <v>0</v>
      </c>
      <c r="Q136" s="82">
        <f t="shared" si="50"/>
        <v>0</v>
      </c>
      <c r="R136" s="82">
        <f t="shared" si="50"/>
        <v>25000</v>
      </c>
      <c r="S136" s="82">
        <f t="shared" si="50"/>
        <v>6642.59</v>
      </c>
      <c r="T136" s="83">
        <f>S136/R136</f>
        <v>0.26570359999999998</v>
      </c>
      <c r="U136" s="82">
        <f>U137</f>
        <v>6553.79</v>
      </c>
      <c r="V136" s="83">
        <f>U136/R136</f>
        <v>0.26215159999999998</v>
      </c>
      <c r="W136" s="82">
        <f>W137</f>
        <v>6553.79</v>
      </c>
      <c r="X136" s="84">
        <f>W136/R136</f>
        <v>0.26215159999999998</v>
      </c>
      <c r="Y136" s="49"/>
    </row>
    <row r="137" spans="1:25" s="65" customFormat="1" ht="39" customHeight="1" x14ac:dyDescent="0.2">
      <c r="A137" s="92" t="s">
        <v>110</v>
      </c>
      <c r="B137" s="52" t="s">
        <v>111</v>
      </c>
      <c r="C137" s="53" t="s">
        <v>52</v>
      </c>
      <c r="D137" s="54" t="s">
        <v>130</v>
      </c>
      <c r="E137" s="55" t="s">
        <v>50</v>
      </c>
      <c r="F137" s="56" t="s">
        <v>131</v>
      </c>
      <c r="G137" s="57">
        <v>1</v>
      </c>
      <c r="H137" s="53" t="s">
        <v>116</v>
      </c>
      <c r="I137" s="58" t="s">
        <v>117</v>
      </c>
      <c r="J137" s="59">
        <v>3</v>
      </c>
      <c r="K137" s="60">
        <v>25000</v>
      </c>
      <c r="L137" s="61">
        <v>0</v>
      </c>
      <c r="M137" s="61">
        <v>0</v>
      </c>
      <c r="N137" s="60">
        <f t="shared" si="35"/>
        <v>25000</v>
      </c>
      <c r="O137" s="61">
        <v>0</v>
      </c>
      <c r="P137" s="61">
        <v>0</v>
      </c>
      <c r="Q137" s="61">
        <v>0</v>
      </c>
      <c r="R137" s="60">
        <f t="shared" si="36"/>
        <v>25000</v>
      </c>
      <c r="S137" s="61">
        <f>4110+400-554.92+442-459.5+2100+605.01</f>
        <v>6642.59</v>
      </c>
      <c r="T137" s="62">
        <f>S137/R137</f>
        <v>0.26570359999999998</v>
      </c>
      <c r="U137" s="61">
        <f>4010+500-554.92+442-459.5+1620+996.21</f>
        <v>6553.79</v>
      </c>
      <c r="V137" s="62">
        <f t="shared" si="38"/>
        <v>0.26215159999999998</v>
      </c>
      <c r="W137" s="61">
        <f>4010+500-554.92+442-459.5+1620+996.21</f>
        <v>6553.79</v>
      </c>
      <c r="X137" s="63">
        <f t="shared" si="39"/>
        <v>0.26215159999999998</v>
      </c>
      <c r="Y137" s="64"/>
    </row>
    <row r="138" spans="1:25" s="42" customFormat="1" ht="9" customHeight="1" x14ac:dyDescent="0.2">
      <c r="A138" s="66"/>
      <c r="B138" s="67"/>
      <c r="C138" s="68"/>
      <c r="D138" s="69"/>
      <c r="E138" s="70"/>
      <c r="F138" s="71"/>
      <c r="G138" s="72"/>
      <c r="H138" s="68"/>
      <c r="I138" s="73"/>
      <c r="J138" s="74"/>
      <c r="K138" s="75"/>
      <c r="L138" s="76"/>
      <c r="M138" s="76"/>
      <c r="N138" s="75"/>
      <c r="O138" s="76"/>
      <c r="P138" s="76"/>
      <c r="Q138" s="76"/>
      <c r="R138" s="75"/>
      <c r="S138" s="76"/>
      <c r="T138" s="77"/>
      <c r="U138" s="76"/>
      <c r="V138" s="77"/>
      <c r="W138" s="76"/>
      <c r="X138" s="78"/>
    </row>
    <row r="139" spans="1:25" s="50" customFormat="1" ht="39" customHeight="1" x14ac:dyDescent="0.2">
      <c r="A139" s="100" t="s">
        <v>110</v>
      </c>
      <c r="B139" s="195" t="s">
        <v>111</v>
      </c>
      <c r="C139" s="196"/>
      <c r="D139" s="80" t="s">
        <v>132</v>
      </c>
      <c r="E139" s="81" t="s">
        <v>50</v>
      </c>
      <c r="F139" s="195" t="s">
        <v>133</v>
      </c>
      <c r="G139" s="197"/>
      <c r="H139" s="197"/>
      <c r="I139" s="197"/>
      <c r="J139" s="196"/>
      <c r="K139" s="82">
        <f t="shared" ref="K139:S139" si="51">SUM(K140:K142)</f>
        <v>542000</v>
      </c>
      <c r="L139" s="82">
        <f t="shared" si="51"/>
        <v>627200</v>
      </c>
      <c r="M139" s="82">
        <f t="shared" si="51"/>
        <v>15000</v>
      </c>
      <c r="N139" s="82">
        <f t="shared" si="51"/>
        <v>1154200</v>
      </c>
      <c r="O139" s="82">
        <f t="shared" si="51"/>
        <v>0</v>
      </c>
      <c r="P139" s="82">
        <f t="shared" si="51"/>
        <v>0</v>
      </c>
      <c r="Q139" s="82">
        <f t="shared" si="51"/>
        <v>0</v>
      </c>
      <c r="R139" s="82">
        <f t="shared" si="51"/>
        <v>1154200</v>
      </c>
      <c r="S139" s="82">
        <f t="shared" si="51"/>
        <v>1083500.1099999999</v>
      </c>
      <c r="T139" s="83">
        <f>S139/R139</f>
        <v>0.93874554669901222</v>
      </c>
      <c r="U139" s="82">
        <f>SUM(U140:U142)</f>
        <v>975664.90000000014</v>
      </c>
      <c r="V139" s="83">
        <f>U139/R139</f>
        <v>0.84531701611505816</v>
      </c>
      <c r="W139" s="82">
        <f>SUM(W140:W142)</f>
        <v>964334.28</v>
      </c>
      <c r="X139" s="84">
        <f>W139/R139</f>
        <v>0.83550015595217464</v>
      </c>
      <c r="Y139" s="49"/>
    </row>
    <row r="140" spans="1:25" s="50" customFormat="1" ht="39" customHeight="1" x14ac:dyDescent="0.2">
      <c r="A140" s="92" t="s">
        <v>110</v>
      </c>
      <c r="B140" s="52" t="s">
        <v>111</v>
      </c>
      <c r="C140" s="53" t="s">
        <v>52</v>
      </c>
      <c r="D140" s="54" t="s">
        <v>132</v>
      </c>
      <c r="E140" s="55" t="s">
        <v>50</v>
      </c>
      <c r="F140" s="56" t="s">
        <v>133</v>
      </c>
      <c r="G140" s="57">
        <v>1</v>
      </c>
      <c r="H140" s="53" t="s">
        <v>116</v>
      </c>
      <c r="I140" s="58" t="s">
        <v>117</v>
      </c>
      <c r="J140" s="59">
        <v>3</v>
      </c>
      <c r="K140" s="60">
        <f>325000+62000+155000</f>
        <v>542000</v>
      </c>
      <c r="L140" s="61">
        <v>0</v>
      </c>
      <c r="M140" s="61">
        <f>15000</f>
        <v>15000</v>
      </c>
      <c r="N140" s="60">
        <f t="shared" ref="N140:N141" si="52">K140+L140-M140</f>
        <v>527000</v>
      </c>
      <c r="O140" s="61">
        <v>0</v>
      </c>
      <c r="P140" s="61">
        <v>0</v>
      </c>
      <c r="Q140" s="61">
        <v>0</v>
      </c>
      <c r="R140" s="60">
        <f t="shared" ref="R140:R141" si="53">N140-O140+P140+Q140</f>
        <v>527000</v>
      </c>
      <c r="S140" s="61">
        <f>87315.44+82000+81500+85310.66+84306.01+89600</f>
        <v>510032.11</v>
      </c>
      <c r="T140" s="62">
        <f>S140/R140</f>
        <v>0.96780286527514225</v>
      </c>
      <c r="U140" s="61">
        <f>161639.62+81968.16+84791.65+84506.44+86009.75+3943.01</f>
        <v>502858.63</v>
      </c>
      <c r="V140" s="62">
        <f>U140/R140</f>
        <v>0.95419094876660338</v>
      </c>
      <c r="W140" s="61">
        <f>161639.62+81968.16+84791.65+84506.44+86009.75+3943.01</f>
        <v>502858.63</v>
      </c>
      <c r="X140" s="63">
        <f>W140/R140</f>
        <v>0.95419094876660338</v>
      </c>
      <c r="Y140" s="49"/>
    </row>
    <row r="141" spans="1:25" s="50" customFormat="1" ht="39" customHeight="1" x14ac:dyDescent="0.2">
      <c r="A141" s="92" t="s">
        <v>110</v>
      </c>
      <c r="B141" s="52" t="s">
        <v>111</v>
      </c>
      <c r="C141" s="53" t="s">
        <v>52</v>
      </c>
      <c r="D141" s="54" t="s">
        <v>132</v>
      </c>
      <c r="E141" s="55" t="s">
        <v>50</v>
      </c>
      <c r="F141" s="56" t="s">
        <v>133</v>
      </c>
      <c r="G141" s="57">
        <v>1</v>
      </c>
      <c r="H141" s="53" t="s">
        <v>65</v>
      </c>
      <c r="I141" s="88" t="s">
        <v>66</v>
      </c>
      <c r="J141" s="59">
        <v>3</v>
      </c>
      <c r="K141" s="60">
        <v>0</v>
      </c>
      <c r="L141" s="61">
        <v>537600</v>
      </c>
      <c r="M141" s="61">
        <v>0</v>
      </c>
      <c r="N141" s="60">
        <f t="shared" si="52"/>
        <v>537600</v>
      </c>
      <c r="O141" s="61">
        <v>0</v>
      </c>
      <c r="P141" s="61">
        <v>0</v>
      </c>
      <c r="Q141" s="61">
        <v>0</v>
      </c>
      <c r="R141" s="60">
        <f t="shared" si="53"/>
        <v>537600</v>
      </c>
      <c r="S141" s="61">
        <f>87000+96000+101000+95000+158600</f>
        <v>537600</v>
      </c>
      <c r="T141" s="62">
        <f>S141/R141</f>
        <v>1</v>
      </c>
      <c r="U141" s="61">
        <f>85684.2+93746.69+98337.21+98025.84+61144.33</f>
        <v>436938.27000000008</v>
      </c>
      <c r="V141" s="62">
        <f>U141/R141</f>
        <v>0.81275719866071439</v>
      </c>
      <c r="W141" s="61">
        <f>85684.2+93746.69+98337.21+6257.46+143582.09</f>
        <v>427607.65</v>
      </c>
      <c r="X141" s="63">
        <f>W141/R141</f>
        <v>0.79540113467261908</v>
      </c>
      <c r="Y141" s="49"/>
    </row>
    <row r="142" spans="1:25" s="65" customFormat="1" ht="39" customHeight="1" x14ac:dyDescent="0.2">
      <c r="A142" s="92" t="s">
        <v>110</v>
      </c>
      <c r="B142" s="52" t="s">
        <v>111</v>
      </c>
      <c r="C142" s="53" t="s">
        <v>52</v>
      </c>
      <c r="D142" s="54" t="s">
        <v>132</v>
      </c>
      <c r="E142" s="55" t="s">
        <v>50</v>
      </c>
      <c r="F142" s="56" t="s">
        <v>133</v>
      </c>
      <c r="G142" s="57">
        <v>1</v>
      </c>
      <c r="H142" s="106" t="s">
        <v>118</v>
      </c>
      <c r="I142" s="99" t="s">
        <v>119</v>
      </c>
      <c r="J142" s="59">
        <v>3</v>
      </c>
      <c r="K142" s="60">
        <v>0</v>
      </c>
      <c r="L142" s="61">
        <f>89600</f>
        <v>89600</v>
      </c>
      <c r="M142" s="61">
        <v>0</v>
      </c>
      <c r="N142" s="60">
        <f t="shared" si="35"/>
        <v>89600</v>
      </c>
      <c r="O142" s="61">
        <v>0</v>
      </c>
      <c r="P142" s="61">
        <v>0</v>
      </c>
      <c r="Q142" s="61">
        <v>0</v>
      </c>
      <c r="R142" s="60">
        <f t="shared" si="36"/>
        <v>89600</v>
      </c>
      <c r="S142" s="61">
        <f>35868</f>
        <v>35868</v>
      </c>
      <c r="T142" s="62">
        <f>S142/R142</f>
        <v>0.40031250000000002</v>
      </c>
      <c r="U142" s="61">
        <f>35868</f>
        <v>35868</v>
      </c>
      <c r="V142" s="62">
        <f>U142/R142</f>
        <v>0.40031250000000002</v>
      </c>
      <c r="W142" s="61">
        <f>33868</f>
        <v>33868</v>
      </c>
      <c r="X142" s="63">
        <f>W142/R142</f>
        <v>0.37799107142857141</v>
      </c>
      <c r="Y142" s="64"/>
    </row>
    <row r="143" spans="1:25" s="42" customFormat="1" ht="9" customHeight="1" x14ac:dyDescent="0.2">
      <c r="A143" s="66"/>
      <c r="B143" s="67"/>
      <c r="C143" s="68"/>
      <c r="D143" s="69"/>
      <c r="E143" s="70"/>
      <c r="F143" s="71"/>
      <c r="G143" s="72"/>
      <c r="H143" s="68"/>
      <c r="I143" s="73"/>
      <c r="J143" s="74"/>
      <c r="K143" s="75"/>
      <c r="L143" s="76"/>
      <c r="M143" s="76"/>
      <c r="N143" s="75"/>
      <c r="O143" s="76"/>
      <c r="P143" s="76"/>
      <c r="Q143" s="76"/>
      <c r="R143" s="75"/>
      <c r="S143" s="76"/>
      <c r="T143" s="77"/>
      <c r="U143" s="76"/>
      <c r="V143" s="77"/>
      <c r="W143" s="76"/>
      <c r="X143" s="78"/>
    </row>
    <row r="144" spans="1:25" s="50" customFormat="1" ht="39" customHeight="1" x14ac:dyDescent="0.2">
      <c r="A144" s="100" t="s">
        <v>110</v>
      </c>
      <c r="B144" s="195" t="s">
        <v>111</v>
      </c>
      <c r="C144" s="196"/>
      <c r="D144" s="80" t="s">
        <v>134</v>
      </c>
      <c r="E144" s="81" t="s">
        <v>135</v>
      </c>
      <c r="F144" s="195" t="s">
        <v>136</v>
      </c>
      <c r="G144" s="197"/>
      <c r="H144" s="197"/>
      <c r="I144" s="197"/>
      <c r="J144" s="196"/>
      <c r="K144" s="82">
        <f>SUM(K145:K147)</f>
        <v>365011</v>
      </c>
      <c r="L144" s="82">
        <f t="shared" ref="L144:W144" si="54">SUM(L145:L147)</f>
        <v>119000</v>
      </c>
      <c r="M144" s="82">
        <f t="shared" si="54"/>
        <v>214000</v>
      </c>
      <c r="N144" s="82">
        <f t="shared" si="54"/>
        <v>270011</v>
      </c>
      <c r="O144" s="82">
        <f t="shared" si="54"/>
        <v>24000</v>
      </c>
      <c r="P144" s="82">
        <f t="shared" si="54"/>
        <v>0</v>
      </c>
      <c r="Q144" s="82">
        <f t="shared" si="54"/>
        <v>0</v>
      </c>
      <c r="R144" s="82">
        <f t="shared" si="54"/>
        <v>246011</v>
      </c>
      <c r="S144" s="82">
        <f t="shared" si="54"/>
        <v>151843.69</v>
      </c>
      <c r="T144" s="83">
        <f>S144/R144</f>
        <v>0.61722317294755114</v>
      </c>
      <c r="U144" s="82">
        <f t="shared" si="54"/>
        <v>145705.71</v>
      </c>
      <c r="V144" s="83">
        <f>U144/R144</f>
        <v>0.59227315038758421</v>
      </c>
      <c r="W144" s="82">
        <f t="shared" si="54"/>
        <v>120699.71</v>
      </c>
      <c r="X144" s="84">
        <f>W144/R144</f>
        <v>0.49062728902366159</v>
      </c>
      <c r="Y144" s="49"/>
    </row>
    <row r="145" spans="1:25" s="65" customFormat="1" ht="39" customHeight="1" x14ac:dyDescent="0.2">
      <c r="A145" s="92" t="s">
        <v>110</v>
      </c>
      <c r="B145" s="52" t="s">
        <v>111</v>
      </c>
      <c r="C145" s="53" t="s">
        <v>52</v>
      </c>
      <c r="D145" s="54" t="s">
        <v>134</v>
      </c>
      <c r="E145" s="55" t="s">
        <v>135</v>
      </c>
      <c r="F145" s="56" t="s">
        <v>136</v>
      </c>
      <c r="G145" s="57">
        <v>1</v>
      </c>
      <c r="H145" s="53" t="s">
        <v>53</v>
      </c>
      <c r="I145" s="58" t="s">
        <v>54</v>
      </c>
      <c r="J145" s="59">
        <v>4</v>
      </c>
      <c r="K145" s="60">
        <v>30000</v>
      </c>
      <c r="L145" s="61">
        <v>0</v>
      </c>
      <c r="M145" s="61">
        <v>0</v>
      </c>
      <c r="N145" s="60">
        <f>K145+L145-M145</f>
        <v>30000</v>
      </c>
      <c r="O145" s="61">
        <v>0</v>
      </c>
      <c r="P145" s="61">
        <v>0</v>
      </c>
      <c r="Q145" s="61">
        <v>0</v>
      </c>
      <c r="R145" s="60">
        <f>N145-O145+P145+Q145</f>
        <v>30000</v>
      </c>
      <c r="S145" s="61">
        <f>5842.39</f>
        <v>5842.39</v>
      </c>
      <c r="T145" s="62">
        <f>S145/R145</f>
        <v>0.19474633333333335</v>
      </c>
      <c r="U145" s="61">
        <f>5544.46</f>
        <v>5544.46</v>
      </c>
      <c r="V145" s="62">
        <f t="shared" si="38"/>
        <v>0.18481533333333333</v>
      </c>
      <c r="W145" s="61">
        <f>5544.46</f>
        <v>5544.46</v>
      </c>
      <c r="X145" s="63">
        <f t="shared" si="39"/>
        <v>0.18481533333333333</v>
      </c>
      <c r="Y145" s="64"/>
    </row>
    <row r="146" spans="1:25" s="65" customFormat="1" ht="39" customHeight="1" x14ac:dyDescent="0.2">
      <c r="A146" s="92" t="s">
        <v>110</v>
      </c>
      <c r="B146" s="52" t="s">
        <v>111</v>
      </c>
      <c r="C146" s="53" t="s">
        <v>52</v>
      </c>
      <c r="D146" s="54" t="s">
        <v>134</v>
      </c>
      <c r="E146" s="55" t="s">
        <v>135</v>
      </c>
      <c r="F146" s="56" t="s">
        <v>136</v>
      </c>
      <c r="G146" s="57">
        <v>1</v>
      </c>
      <c r="H146" s="53" t="s">
        <v>116</v>
      </c>
      <c r="I146" s="58" t="s">
        <v>117</v>
      </c>
      <c r="J146" s="59">
        <v>3</v>
      </c>
      <c r="K146" s="60">
        <f>7000+30000+2000+62000+231011+3000</f>
        <v>335011</v>
      </c>
      <c r="L146" s="61">
        <v>0</v>
      </c>
      <c r="M146" s="61">
        <f>119000</f>
        <v>119000</v>
      </c>
      <c r="N146" s="60">
        <f t="shared" ref="N146:N332" si="55">K146+L146-M146</f>
        <v>216011</v>
      </c>
      <c r="O146" s="61">
        <v>0</v>
      </c>
      <c r="P146" s="61">
        <v>0</v>
      </c>
      <c r="Q146" s="61">
        <v>0</v>
      </c>
      <c r="R146" s="60">
        <f t="shared" ref="R146:R233" si="56">N146-O146+P146+Q146</f>
        <v>216011</v>
      </c>
      <c r="S146" s="61">
        <f>500+3960+11820+1254+16159.35+1188.1+4645.28+668.8+80799.77+25006</f>
        <v>146001.29999999999</v>
      </c>
      <c r="T146" s="62">
        <f>S146/R146</f>
        <v>0.67589752373721701</v>
      </c>
      <c r="U146" s="61">
        <f>500+3960+2838+4248+1046.35+19295.1+7639.28+668.75+74959.77+25006</f>
        <v>140161.25</v>
      </c>
      <c r="V146" s="62">
        <f t="shared" si="38"/>
        <v>0.64886163204651615</v>
      </c>
      <c r="W146" s="61">
        <f>500+3960+2838+1733.04+3561.31+19295.1+7639.28+668.75+74959.77</f>
        <v>115155.25</v>
      </c>
      <c r="X146" s="63">
        <f t="shared" si="39"/>
        <v>0.53309900884677164</v>
      </c>
      <c r="Y146" s="107"/>
    </row>
    <row r="147" spans="1:25" s="65" customFormat="1" ht="39" customHeight="1" x14ac:dyDescent="0.2">
      <c r="A147" s="92" t="s">
        <v>110</v>
      </c>
      <c r="B147" s="52" t="s">
        <v>111</v>
      </c>
      <c r="C147" s="53" t="s">
        <v>52</v>
      </c>
      <c r="D147" s="54" t="s">
        <v>134</v>
      </c>
      <c r="E147" s="55" t="s">
        <v>135</v>
      </c>
      <c r="F147" s="56" t="s">
        <v>136</v>
      </c>
      <c r="G147" s="57">
        <v>1</v>
      </c>
      <c r="H147" s="53" t="s">
        <v>116</v>
      </c>
      <c r="I147" s="58" t="s">
        <v>117</v>
      </c>
      <c r="J147" s="59">
        <v>4</v>
      </c>
      <c r="K147" s="60">
        <v>0</v>
      </c>
      <c r="L147" s="61">
        <f>119000</f>
        <v>119000</v>
      </c>
      <c r="M147" s="61">
        <f>95000</f>
        <v>95000</v>
      </c>
      <c r="N147" s="60">
        <f t="shared" si="55"/>
        <v>24000</v>
      </c>
      <c r="O147" s="61">
        <f>119000-95000</f>
        <v>24000</v>
      </c>
      <c r="P147" s="61">
        <v>0</v>
      </c>
      <c r="Q147" s="61">
        <v>0</v>
      </c>
      <c r="R147" s="60">
        <f t="shared" si="56"/>
        <v>0</v>
      </c>
      <c r="S147" s="61">
        <v>0</v>
      </c>
      <c r="T147" s="62">
        <v>0</v>
      </c>
      <c r="U147" s="61">
        <v>0</v>
      </c>
      <c r="V147" s="62">
        <v>0</v>
      </c>
      <c r="W147" s="61">
        <v>0</v>
      </c>
      <c r="X147" s="63">
        <v>0</v>
      </c>
      <c r="Y147" s="107"/>
    </row>
    <row r="148" spans="1:25" s="42" customFormat="1" ht="9" customHeight="1" x14ac:dyDescent="0.2">
      <c r="A148" s="66"/>
      <c r="B148" s="67"/>
      <c r="C148" s="68"/>
      <c r="D148" s="69"/>
      <c r="E148" s="70"/>
      <c r="F148" s="71"/>
      <c r="G148" s="72"/>
      <c r="H148" s="68"/>
      <c r="I148" s="73"/>
      <c r="J148" s="74"/>
      <c r="K148" s="75"/>
      <c r="L148" s="76"/>
      <c r="M148" s="76"/>
      <c r="N148" s="75"/>
      <c r="O148" s="76"/>
      <c r="P148" s="76"/>
      <c r="Q148" s="76"/>
      <c r="R148" s="75"/>
      <c r="S148" s="76"/>
      <c r="T148" s="77"/>
      <c r="U148" s="76"/>
      <c r="V148" s="77"/>
      <c r="W148" s="76"/>
      <c r="X148" s="78"/>
    </row>
    <row r="149" spans="1:25" s="50" customFormat="1" ht="39" customHeight="1" x14ac:dyDescent="0.2">
      <c r="A149" s="100" t="s">
        <v>110</v>
      </c>
      <c r="B149" s="195" t="s">
        <v>111</v>
      </c>
      <c r="C149" s="196"/>
      <c r="D149" s="80" t="s">
        <v>137</v>
      </c>
      <c r="E149" s="81" t="s">
        <v>135</v>
      </c>
      <c r="F149" s="195" t="s">
        <v>138</v>
      </c>
      <c r="G149" s="197"/>
      <c r="H149" s="197"/>
      <c r="I149" s="197"/>
      <c r="J149" s="196"/>
      <c r="K149" s="82">
        <f>K150</f>
        <v>120000</v>
      </c>
      <c r="L149" s="82">
        <f t="shared" ref="L149:S149" si="57">L150</f>
        <v>0</v>
      </c>
      <c r="M149" s="82">
        <f t="shared" si="57"/>
        <v>105000</v>
      </c>
      <c r="N149" s="82">
        <f t="shared" si="57"/>
        <v>15000</v>
      </c>
      <c r="O149" s="82">
        <f t="shared" si="57"/>
        <v>0</v>
      </c>
      <c r="P149" s="82">
        <f t="shared" si="57"/>
        <v>0</v>
      </c>
      <c r="Q149" s="82">
        <f t="shared" si="57"/>
        <v>0</v>
      </c>
      <c r="R149" s="82">
        <f t="shared" si="57"/>
        <v>15000</v>
      </c>
      <c r="S149" s="82">
        <f t="shared" si="57"/>
        <v>496.67</v>
      </c>
      <c r="T149" s="83">
        <f>S149/R149</f>
        <v>3.3111333333333333E-2</v>
      </c>
      <c r="U149" s="82">
        <f>U150</f>
        <v>496.67</v>
      </c>
      <c r="V149" s="83">
        <f>U149/R149</f>
        <v>3.3111333333333333E-2</v>
      </c>
      <c r="W149" s="82">
        <f>W150</f>
        <v>496.67</v>
      </c>
      <c r="X149" s="84">
        <f>W149/R149</f>
        <v>3.3111333333333333E-2</v>
      </c>
      <c r="Y149" s="108"/>
    </row>
    <row r="150" spans="1:25" s="65" customFormat="1" ht="39" customHeight="1" x14ac:dyDescent="0.2">
      <c r="A150" s="92" t="s">
        <v>110</v>
      </c>
      <c r="B150" s="52" t="s">
        <v>111</v>
      </c>
      <c r="C150" s="53" t="s">
        <v>52</v>
      </c>
      <c r="D150" s="54" t="s">
        <v>137</v>
      </c>
      <c r="E150" s="55" t="s">
        <v>135</v>
      </c>
      <c r="F150" s="56" t="s">
        <v>138</v>
      </c>
      <c r="G150" s="57">
        <v>1</v>
      </c>
      <c r="H150" s="53" t="s">
        <v>116</v>
      </c>
      <c r="I150" s="58" t="s">
        <v>117</v>
      </c>
      <c r="J150" s="59">
        <v>3</v>
      </c>
      <c r="K150" s="60">
        <f>5000+25000+90000</f>
        <v>120000</v>
      </c>
      <c r="L150" s="61">
        <v>0</v>
      </c>
      <c r="M150" s="61">
        <f>5000+100000</f>
        <v>105000</v>
      </c>
      <c r="N150" s="60">
        <f t="shared" si="55"/>
        <v>15000</v>
      </c>
      <c r="O150" s="61">
        <v>0</v>
      </c>
      <c r="P150" s="61">
        <v>0</v>
      </c>
      <c r="Q150" s="61">
        <v>0</v>
      </c>
      <c r="R150" s="60">
        <f t="shared" si="56"/>
        <v>15000</v>
      </c>
      <c r="S150" s="61">
        <f>496.67</f>
        <v>496.67</v>
      </c>
      <c r="T150" s="62">
        <f>S150/R150</f>
        <v>3.3111333333333333E-2</v>
      </c>
      <c r="U150" s="61">
        <f>496.67</f>
        <v>496.67</v>
      </c>
      <c r="V150" s="62">
        <f t="shared" si="38"/>
        <v>3.3111333333333333E-2</v>
      </c>
      <c r="W150" s="61">
        <f>496.67</f>
        <v>496.67</v>
      </c>
      <c r="X150" s="63">
        <f t="shared" si="39"/>
        <v>3.3111333333333333E-2</v>
      </c>
      <c r="Y150" s="107"/>
    </row>
    <row r="151" spans="1:25" s="42" customFormat="1" ht="9" customHeight="1" x14ac:dyDescent="0.2">
      <c r="A151" s="66"/>
      <c r="B151" s="67"/>
      <c r="C151" s="68"/>
      <c r="D151" s="69"/>
      <c r="E151" s="70"/>
      <c r="F151" s="71"/>
      <c r="G151" s="72"/>
      <c r="H151" s="68"/>
      <c r="I151" s="73"/>
      <c r="J151" s="74"/>
      <c r="K151" s="75"/>
      <c r="L151" s="76"/>
      <c r="M151" s="76"/>
      <c r="N151" s="75"/>
      <c r="O151" s="76"/>
      <c r="P151" s="76"/>
      <c r="Q151" s="76"/>
      <c r="R151" s="75"/>
      <c r="S151" s="76"/>
      <c r="T151" s="77"/>
      <c r="U151" s="76"/>
      <c r="V151" s="77"/>
      <c r="W151" s="76"/>
      <c r="X151" s="78"/>
    </row>
    <row r="152" spans="1:25" s="50" customFormat="1" ht="39" customHeight="1" x14ac:dyDescent="0.2">
      <c r="A152" s="100" t="s">
        <v>110</v>
      </c>
      <c r="B152" s="195" t="s">
        <v>111</v>
      </c>
      <c r="C152" s="196"/>
      <c r="D152" s="80" t="s">
        <v>139</v>
      </c>
      <c r="E152" s="81" t="s">
        <v>140</v>
      </c>
      <c r="F152" s="195" t="s">
        <v>141</v>
      </c>
      <c r="G152" s="197"/>
      <c r="H152" s="197"/>
      <c r="I152" s="197"/>
      <c r="J152" s="196"/>
      <c r="K152" s="82">
        <f>SUM(K153:K157)</f>
        <v>5391673</v>
      </c>
      <c r="L152" s="82">
        <f t="shared" ref="L152:S152" si="58">SUM(L153:L157)</f>
        <v>766991</v>
      </c>
      <c r="M152" s="82">
        <f t="shared" si="58"/>
        <v>95375</v>
      </c>
      <c r="N152" s="82">
        <f t="shared" si="58"/>
        <v>6063289</v>
      </c>
      <c r="O152" s="82">
        <f t="shared" si="58"/>
        <v>1089529.8999999999</v>
      </c>
      <c r="P152" s="82">
        <f t="shared" si="58"/>
        <v>0</v>
      </c>
      <c r="Q152" s="82">
        <f t="shared" si="58"/>
        <v>0</v>
      </c>
      <c r="R152" s="82">
        <f t="shared" si="58"/>
        <v>4973759.0999999996</v>
      </c>
      <c r="S152" s="82">
        <f t="shared" si="58"/>
        <v>1321071.6400000001</v>
      </c>
      <c r="T152" s="83">
        <f t="shared" ref="T152:T157" si="59">S152/R152</f>
        <v>0.26560828810546938</v>
      </c>
      <c r="U152" s="82">
        <f>SUM(U153:U157)</f>
        <v>1251445.3599999999</v>
      </c>
      <c r="V152" s="83">
        <f t="shared" ref="V152:V157" si="60">U152/R152</f>
        <v>0.25160956428307918</v>
      </c>
      <c r="W152" s="82">
        <f>SUM(W153:W157)</f>
        <v>1244704.3599999999</v>
      </c>
      <c r="X152" s="84">
        <f t="shared" ref="X152:X157" si="61">W152/R152</f>
        <v>0.25025425135688617</v>
      </c>
      <c r="Y152" s="49"/>
    </row>
    <row r="153" spans="1:25" s="65" customFormat="1" ht="39" customHeight="1" x14ac:dyDescent="0.2">
      <c r="A153" s="92" t="s">
        <v>110</v>
      </c>
      <c r="B153" s="52" t="s">
        <v>111</v>
      </c>
      <c r="C153" s="53" t="s">
        <v>52</v>
      </c>
      <c r="D153" s="54" t="s">
        <v>139</v>
      </c>
      <c r="E153" s="55" t="s">
        <v>140</v>
      </c>
      <c r="F153" s="56" t="s">
        <v>141</v>
      </c>
      <c r="G153" s="57">
        <v>1</v>
      </c>
      <c r="H153" s="53" t="s">
        <v>53</v>
      </c>
      <c r="I153" s="58" t="s">
        <v>54</v>
      </c>
      <c r="J153" s="59">
        <v>4</v>
      </c>
      <c r="K153" s="60">
        <f>1390000+2350000+680000</f>
        <v>4420000</v>
      </c>
      <c r="L153" s="61">
        <v>0</v>
      </c>
      <c r="M153" s="61">
        <f>95375</f>
        <v>95375</v>
      </c>
      <c r="N153" s="60">
        <f t="shared" si="55"/>
        <v>4324625</v>
      </c>
      <c r="O153" s="61">
        <f>176198.13-176198.13</f>
        <v>0</v>
      </c>
      <c r="P153" s="61">
        <v>0</v>
      </c>
      <c r="Q153" s="61">
        <v>0</v>
      </c>
      <c r="R153" s="60">
        <f t="shared" si="56"/>
        <v>4324625</v>
      </c>
      <c r="S153" s="61">
        <f>314913.21+310111.16+129547.57+180000+47500+35968.06+78372.5</f>
        <v>1096412.5</v>
      </c>
      <c r="T153" s="62">
        <f t="shared" si="59"/>
        <v>0.2535277625227621</v>
      </c>
      <c r="U153" s="61">
        <f>228378.08+212973.22+149534.67+36548.03+21907.06+90770.5+99530.18+226759.48</f>
        <v>1066401.22</v>
      </c>
      <c r="V153" s="62">
        <f t="shared" si="60"/>
        <v>0.24658813654363093</v>
      </c>
      <c r="W153" s="61">
        <f>228378.08+212973.22+149534.67+36548.03+2190.71+110486.85+99530.18+226759.48</f>
        <v>1066401.22</v>
      </c>
      <c r="X153" s="63">
        <f t="shared" si="61"/>
        <v>0.24658813654363093</v>
      </c>
      <c r="Y153" s="64"/>
    </row>
    <row r="154" spans="1:25" s="65" customFormat="1" ht="39" customHeight="1" x14ac:dyDescent="0.2">
      <c r="A154" s="92" t="s">
        <v>110</v>
      </c>
      <c r="B154" s="52" t="s">
        <v>111</v>
      </c>
      <c r="C154" s="53" t="s">
        <v>52</v>
      </c>
      <c r="D154" s="54" t="s">
        <v>139</v>
      </c>
      <c r="E154" s="55" t="s">
        <v>140</v>
      </c>
      <c r="F154" s="56" t="s">
        <v>141</v>
      </c>
      <c r="G154" s="57">
        <v>1</v>
      </c>
      <c r="H154" s="53" t="s">
        <v>53</v>
      </c>
      <c r="I154" s="58" t="s">
        <v>54</v>
      </c>
      <c r="J154" s="59">
        <v>5</v>
      </c>
      <c r="K154" s="60">
        <v>620673</v>
      </c>
      <c r="L154" s="61">
        <v>0</v>
      </c>
      <c r="M154" s="61">
        <v>0</v>
      </c>
      <c r="N154" s="60">
        <f t="shared" si="55"/>
        <v>620673</v>
      </c>
      <c r="O154" s="61">
        <f>529746.96</f>
        <v>529746.96</v>
      </c>
      <c r="P154" s="61">
        <v>0</v>
      </c>
      <c r="Q154" s="61">
        <v>0</v>
      </c>
      <c r="R154" s="60">
        <f t="shared" si="56"/>
        <v>90926.040000000037</v>
      </c>
      <c r="S154" s="61">
        <v>0</v>
      </c>
      <c r="T154" s="62">
        <f t="shared" si="59"/>
        <v>0</v>
      </c>
      <c r="U154" s="61">
        <v>0</v>
      </c>
      <c r="V154" s="62">
        <f t="shared" si="60"/>
        <v>0</v>
      </c>
      <c r="W154" s="61">
        <v>0</v>
      </c>
      <c r="X154" s="63">
        <f t="shared" si="61"/>
        <v>0</v>
      </c>
      <c r="Y154" s="64"/>
    </row>
    <row r="155" spans="1:25" s="65" customFormat="1" ht="39" customHeight="1" x14ac:dyDescent="0.2">
      <c r="A155" s="92" t="s">
        <v>110</v>
      </c>
      <c r="B155" s="52" t="s">
        <v>111</v>
      </c>
      <c r="C155" s="53" t="s">
        <v>52</v>
      </c>
      <c r="D155" s="54" t="s">
        <v>139</v>
      </c>
      <c r="E155" s="55" t="s">
        <v>140</v>
      </c>
      <c r="F155" s="56" t="s">
        <v>141</v>
      </c>
      <c r="G155" s="57">
        <v>1</v>
      </c>
      <c r="H155" s="53" t="s">
        <v>61</v>
      </c>
      <c r="I155" s="58" t="s">
        <v>62</v>
      </c>
      <c r="J155" s="59">
        <v>4</v>
      </c>
      <c r="K155" s="60">
        <v>300000</v>
      </c>
      <c r="L155" s="61">
        <v>0</v>
      </c>
      <c r="M155" s="61">
        <v>0</v>
      </c>
      <c r="N155" s="60">
        <f t="shared" si="55"/>
        <v>300000</v>
      </c>
      <c r="O155" s="61">
        <v>0</v>
      </c>
      <c r="P155" s="61">
        <v>0</v>
      </c>
      <c r="Q155" s="61">
        <v>0</v>
      </c>
      <c r="R155" s="60">
        <f t="shared" si="56"/>
        <v>300000</v>
      </c>
      <c r="S155" s="61">
        <v>0</v>
      </c>
      <c r="T155" s="62">
        <f t="shared" si="59"/>
        <v>0</v>
      </c>
      <c r="U155" s="61">
        <v>0</v>
      </c>
      <c r="V155" s="62">
        <f t="shared" si="60"/>
        <v>0</v>
      </c>
      <c r="W155" s="61">
        <v>0</v>
      </c>
      <c r="X155" s="63">
        <f t="shared" si="61"/>
        <v>0</v>
      </c>
      <c r="Y155" s="64"/>
    </row>
    <row r="156" spans="1:25" s="65" customFormat="1" ht="39" customHeight="1" x14ac:dyDescent="0.2">
      <c r="A156" s="92" t="s">
        <v>110</v>
      </c>
      <c r="B156" s="52" t="s">
        <v>111</v>
      </c>
      <c r="C156" s="53" t="s">
        <v>52</v>
      </c>
      <c r="D156" s="54" t="s">
        <v>139</v>
      </c>
      <c r="E156" s="55" t="s">
        <v>140</v>
      </c>
      <c r="F156" s="56" t="s">
        <v>141</v>
      </c>
      <c r="G156" s="57">
        <v>1</v>
      </c>
      <c r="H156" s="53" t="s">
        <v>116</v>
      </c>
      <c r="I156" s="58" t="s">
        <v>117</v>
      </c>
      <c r="J156" s="59">
        <v>3</v>
      </c>
      <c r="K156" s="60">
        <f>20000+30000+1000</f>
        <v>51000</v>
      </c>
      <c r="L156" s="61">
        <v>0</v>
      </c>
      <c r="M156" s="61">
        <v>0</v>
      </c>
      <c r="N156" s="60">
        <f t="shared" si="55"/>
        <v>51000</v>
      </c>
      <c r="O156" s="61">
        <v>0</v>
      </c>
      <c r="P156" s="61">
        <v>0</v>
      </c>
      <c r="Q156" s="61">
        <v>0</v>
      </c>
      <c r="R156" s="60">
        <f t="shared" si="56"/>
        <v>51000</v>
      </c>
      <c r="S156" s="61">
        <f>4000+6117+9025.28+135.8+85.96</f>
        <v>19364.039999999997</v>
      </c>
      <c r="T156" s="62">
        <f t="shared" si="59"/>
        <v>0.37968705882352938</v>
      </c>
      <c r="U156" s="61">
        <f>4000+284.28+4252.8+2085.96+6741</f>
        <v>17364.04</v>
      </c>
      <c r="V156" s="62">
        <f t="shared" si="60"/>
        <v>0.3404713725490196</v>
      </c>
      <c r="W156" s="61">
        <f>4000+284.28+333.42+3919.38+2085.96</f>
        <v>10623.04</v>
      </c>
      <c r="X156" s="63">
        <f t="shared" si="61"/>
        <v>0.20829490196078432</v>
      </c>
      <c r="Y156" s="64"/>
    </row>
    <row r="157" spans="1:25" s="65" customFormat="1" ht="39" customHeight="1" x14ac:dyDescent="0.2">
      <c r="A157" s="92" t="s">
        <v>110</v>
      </c>
      <c r="B157" s="52" t="s">
        <v>111</v>
      </c>
      <c r="C157" s="53" t="s">
        <v>52</v>
      </c>
      <c r="D157" s="54" t="s">
        <v>139</v>
      </c>
      <c r="E157" s="55" t="s">
        <v>140</v>
      </c>
      <c r="F157" s="56" t="s">
        <v>141</v>
      </c>
      <c r="G157" s="57">
        <v>1</v>
      </c>
      <c r="H157" s="87" t="s">
        <v>65</v>
      </c>
      <c r="I157" s="88" t="s">
        <v>66</v>
      </c>
      <c r="J157" s="59">
        <v>4</v>
      </c>
      <c r="K157" s="60">
        <v>0</v>
      </c>
      <c r="L157" s="61">
        <f>766991</f>
        <v>766991</v>
      </c>
      <c r="M157" s="61">
        <v>0</v>
      </c>
      <c r="N157" s="60">
        <f t="shared" si="55"/>
        <v>766991</v>
      </c>
      <c r="O157" s="61">
        <f>766991-199745.96-7462.1</f>
        <v>559782.94000000006</v>
      </c>
      <c r="P157" s="61">
        <v>0</v>
      </c>
      <c r="Q157" s="61">
        <v>0</v>
      </c>
      <c r="R157" s="60">
        <f t="shared" si="56"/>
        <v>207208.05999999994</v>
      </c>
      <c r="S157" s="61">
        <f>198833-1000+7462.1</f>
        <v>205295.1</v>
      </c>
      <c r="T157" s="62">
        <f t="shared" si="59"/>
        <v>0.99076792669165503</v>
      </c>
      <c r="U157" s="61">
        <f>34218+83293.76+50168.34</f>
        <v>167680.09999999998</v>
      </c>
      <c r="V157" s="62">
        <f t="shared" si="60"/>
        <v>0.80923541294677448</v>
      </c>
      <c r="W157" s="61">
        <f>34218+83293.76+50168.34</f>
        <v>167680.09999999998</v>
      </c>
      <c r="X157" s="63">
        <f t="shared" si="61"/>
        <v>0.80923541294677448</v>
      </c>
      <c r="Y157" s="64"/>
    </row>
    <row r="158" spans="1:25" s="42" customFormat="1" ht="9" customHeight="1" x14ac:dyDescent="0.2">
      <c r="A158" s="66"/>
      <c r="B158" s="67"/>
      <c r="C158" s="68"/>
      <c r="D158" s="69"/>
      <c r="E158" s="70"/>
      <c r="F158" s="71"/>
      <c r="G158" s="72"/>
      <c r="H158" s="68"/>
      <c r="I158" s="73"/>
      <c r="J158" s="74"/>
      <c r="K158" s="75"/>
      <c r="L158" s="76"/>
      <c r="M158" s="76"/>
      <c r="N158" s="75"/>
      <c r="O158" s="76"/>
      <c r="P158" s="76"/>
      <c r="Q158" s="76"/>
      <c r="R158" s="75"/>
      <c r="S158" s="76"/>
      <c r="T158" s="77"/>
      <c r="U158" s="76"/>
      <c r="V158" s="77"/>
      <c r="W158" s="76"/>
      <c r="X158" s="78"/>
    </row>
    <row r="159" spans="1:25" s="50" customFormat="1" ht="39" customHeight="1" x14ac:dyDescent="0.2">
      <c r="A159" s="100" t="s">
        <v>110</v>
      </c>
      <c r="B159" s="195" t="s">
        <v>111</v>
      </c>
      <c r="C159" s="196"/>
      <c r="D159" s="80" t="s">
        <v>142</v>
      </c>
      <c r="E159" s="81" t="s">
        <v>140</v>
      </c>
      <c r="F159" s="195" t="s">
        <v>143</v>
      </c>
      <c r="G159" s="197"/>
      <c r="H159" s="197"/>
      <c r="I159" s="197"/>
      <c r="J159" s="196"/>
      <c r="K159" s="82">
        <f>SUM(K160:K162)</f>
        <v>301000</v>
      </c>
      <c r="L159" s="82">
        <f>SUM(L160:L162)</f>
        <v>843579</v>
      </c>
      <c r="M159" s="82">
        <f t="shared" ref="M159:S159" si="62">SUM(M160:M162)</f>
        <v>0</v>
      </c>
      <c r="N159" s="82">
        <f t="shared" si="62"/>
        <v>1144579</v>
      </c>
      <c r="O159" s="82">
        <f t="shared" si="62"/>
        <v>70783.550000000047</v>
      </c>
      <c r="P159" s="82">
        <f t="shared" si="62"/>
        <v>0</v>
      </c>
      <c r="Q159" s="82">
        <f t="shared" si="62"/>
        <v>0</v>
      </c>
      <c r="R159" s="82">
        <f t="shared" si="62"/>
        <v>1073795.45</v>
      </c>
      <c r="S159" s="82">
        <f t="shared" si="62"/>
        <v>1018759.6099999999</v>
      </c>
      <c r="T159" s="83">
        <f>S159/R159</f>
        <v>0.94874643955699378</v>
      </c>
      <c r="U159" s="82">
        <f>SUM(U160:U162)</f>
        <v>1004338.0299999998</v>
      </c>
      <c r="V159" s="83">
        <f>U159/R159</f>
        <v>0.93531596730084843</v>
      </c>
      <c r="W159" s="82">
        <f>SUM(W160:W162)</f>
        <v>1004338.0299999998</v>
      </c>
      <c r="X159" s="84">
        <f>W159/R159</f>
        <v>0.93531596730084843</v>
      </c>
      <c r="Y159" s="49"/>
    </row>
    <row r="160" spans="1:25" s="65" customFormat="1" ht="39" customHeight="1" x14ac:dyDescent="0.2">
      <c r="A160" s="92" t="s">
        <v>110</v>
      </c>
      <c r="B160" s="52" t="s">
        <v>111</v>
      </c>
      <c r="C160" s="53" t="s">
        <v>52</v>
      </c>
      <c r="D160" s="54" t="s">
        <v>142</v>
      </c>
      <c r="E160" s="55" t="s">
        <v>140</v>
      </c>
      <c r="F160" s="56" t="s">
        <v>143</v>
      </c>
      <c r="G160" s="57">
        <v>1</v>
      </c>
      <c r="H160" s="53" t="s">
        <v>53</v>
      </c>
      <c r="I160" s="58" t="s">
        <v>54</v>
      </c>
      <c r="J160" s="59">
        <v>4</v>
      </c>
      <c r="K160" s="60">
        <v>300000</v>
      </c>
      <c r="L160" s="61">
        <v>0</v>
      </c>
      <c r="M160" s="61">
        <v>0</v>
      </c>
      <c r="N160" s="60">
        <f t="shared" si="55"/>
        <v>300000</v>
      </c>
      <c r="O160" s="61">
        <v>0</v>
      </c>
      <c r="P160" s="61">
        <f>50000-50000</f>
        <v>0</v>
      </c>
      <c r="Q160" s="61">
        <v>0</v>
      </c>
      <c r="R160" s="60">
        <f t="shared" si="56"/>
        <v>300000</v>
      </c>
      <c r="S160" s="61">
        <f>50000+49782.9+80537.43+59174.82+6624.05</f>
        <v>246119.19999999998</v>
      </c>
      <c r="T160" s="62">
        <f>S160/R160</f>
        <v>0.82039733333333331</v>
      </c>
      <c r="U160" s="61">
        <f>49782.9+50000+59174.82+72886.28</f>
        <v>231844</v>
      </c>
      <c r="V160" s="62">
        <f>U160/R160</f>
        <v>0.77281333333333335</v>
      </c>
      <c r="W160" s="61">
        <f>49782.9+50000+59174.82+72886.28</f>
        <v>231844</v>
      </c>
      <c r="X160" s="63">
        <f>W160/R160</f>
        <v>0.77281333333333335</v>
      </c>
      <c r="Y160" s="64"/>
    </row>
    <row r="161" spans="1:25" s="65" customFormat="1" ht="39" customHeight="1" x14ac:dyDescent="0.2">
      <c r="A161" s="92" t="s">
        <v>110</v>
      </c>
      <c r="B161" s="52" t="s">
        <v>111</v>
      </c>
      <c r="C161" s="53" t="s">
        <v>52</v>
      </c>
      <c r="D161" s="54" t="s">
        <v>142</v>
      </c>
      <c r="E161" s="55" t="s">
        <v>140</v>
      </c>
      <c r="F161" s="56" t="s">
        <v>143</v>
      </c>
      <c r="G161" s="57">
        <v>1</v>
      </c>
      <c r="H161" s="53" t="s">
        <v>116</v>
      </c>
      <c r="I161" s="58" t="s">
        <v>117</v>
      </c>
      <c r="J161" s="59">
        <v>3</v>
      </c>
      <c r="K161" s="60">
        <v>1000</v>
      </c>
      <c r="L161" s="61">
        <v>0</v>
      </c>
      <c r="M161" s="61">
        <v>0</v>
      </c>
      <c r="N161" s="60">
        <f t="shared" si="55"/>
        <v>1000</v>
      </c>
      <c r="O161" s="61">
        <v>0</v>
      </c>
      <c r="P161" s="61">
        <f>50000-50000</f>
        <v>0</v>
      </c>
      <c r="Q161" s="61">
        <v>0</v>
      </c>
      <c r="R161" s="60">
        <f t="shared" si="56"/>
        <v>1000</v>
      </c>
      <c r="S161" s="61">
        <f>85.96</f>
        <v>85.96</v>
      </c>
      <c r="T161" s="62">
        <f>S161/R161</f>
        <v>8.5959999999999995E-2</v>
      </c>
      <c r="U161" s="61">
        <f>85.96</f>
        <v>85.96</v>
      </c>
      <c r="V161" s="62">
        <f>U161/R161</f>
        <v>8.5959999999999995E-2</v>
      </c>
      <c r="W161" s="61">
        <f>85.96</f>
        <v>85.96</v>
      </c>
      <c r="X161" s="63">
        <f>W161/R161</f>
        <v>8.5959999999999995E-2</v>
      </c>
      <c r="Y161" s="64"/>
    </row>
    <row r="162" spans="1:25" s="65" customFormat="1" ht="39" customHeight="1" x14ac:dyDescent="0.2">
      <c r="A162" s="92" t="s">
        <v>110</v>
      </c>
      <c r="B162" s="52" t="s">
        <v>111</v>
      </c>
      <c r="C162" s="53" t="s">
        <v>52</v>
      </c>
      <c r="D162" s="54" t="s">
        <v>142</v>
      </c>
      <c r="E162" s="55" t="s">
        <v>140</v>
      </c>
      <c r="F162" s="56" t="s">
        <v>143</v>
      </c>
      <c r="G162" s="57">
        <v>1</v>
      </c>
      <c r="H162" s="87" t="s">
        <v>65</v>
      </c>
      <c r="I162" s="88" t="s">
        <v>66</v>
      </c>
      <c r="J162" s="59">
        <v>4</v>
      </c>
      <c r="K162" s="60">
        <v>0</v>
      </c>
      <c r="L162" s="61">
        <f>843579</f>
        <v>843579</v>
      </c>
      <c r="M162" s="61">
        <v>0</v>
      </c>
      <c r="N162" s="60">
        <f t="shared" si="55"/>
        <v>843579</v>
      </c>
      <c r="O162" s="61">
        <f>843579-215662.33-247241-213825.18-96066.94</f>
        <v>70783.550000000047</v>
      </c>
      <c r="P162" s="61">
        <f>50000-50000</f>
        <v>0</v>
      </c>
      <c r="Q162" s="61">
        <v>0</v>
      </c>
      <c r="R162" s="60">
        <f t="shared" si="56"/>
        <v>772795.45</v>
      </c>
      <c r="S162" s="61">
        <f>215662.33+247000+213825.18+96066.94</f>
        <v>772554.45</v>
      </c>
      <c r="T162" s="62">
        <f>S162/R162</f>
        <v>0.9996881451618278</v>
      </c>
      <c r="U162" s="61">
        <f>215662.33+197241+263437.8+96066.94</f>
        <v>772408.06999999983</v>
      </c>
      <c r="V162" s="62">
        <f>U162/R162</f>
        <v>0.99949872893273362</v>
      </c>
      <c r="W162" s="61">
        <f>215662.33+197241+263437.8+96066.94</f>
        <v>772408.06999999983</v>
      </c>
      <c r="X162" s="63">
        <f>W162/R162</f>
        <v>0.99949872893273362</v>
      </c>
      <c r="Y162" s="64"/>
    </row>
    <row r="163" spans="1:25" s="42" customFormat="1" ht="9" customHeight="1" x14ac:dyDescent="0.2">
      <c r="A163" s="66"/>
      <c r="B163" s="67"/>
      <c r="C163" s="68"/>
      <c r="D163" s="69"/>
      <c r="E163" s="70"/>
      <c r="F163" s="71"/>
      <c r="G163" s="72"/>
      <c r="H163" s="68"/>
      <c r="I163" s="73"/>
      <c r="J163" s="74"/>
      <c r="K163" s="75"/>
      <c r="L163" s="76"/>
      <c r="M163" s="76"/>
      <c r="N163" s="75"/>
      <c r="O163" s="76"/>
      <c r="P163" s="76"/>
      <c r="Q163" s="76"/>
      <c r="R163" s="75"/>
      <c r="S163" s="76"/>
      <c r="T163" s="77"/>
      <c r="U163" s="76"/>
      <c r="V163" s="77"/>
      <c r="W163" s="76"/>
      <c r="X163" s="78"/>
    </row>
    <row r="164" spans="1:25" s="50" customFormat="1" ht="39" customHeight="1" x14ac:dyDescent="0.2">
      <c r="A164" s="100" t="s">
        <v>110</v>
      </c>
      <c r="B164" s="195" t="s">
        <v>111</v>
      </c>
      <c r="C164" s="196"/>
      <c r="D164" s="80" t="s">
        <v>144</v>
      </c>
      <c r="E164" s="81" t="s">
        <v>140</v>
      </c>
      <c r="F164" s="195" t="s">
        <v>145</v>
      </c>
      <c r="G164" s="197"/>
      <c r="H164" s="197"/>
      <c r="I164" s="197"/>
      <c r="J164" s="196"/>
      <c r="K164" s="82">
        <f>SUM(K165:K170)</f>
        <v>914004</v>
      </c>
      <c r="L164" s="82">
        <f t="shared" ref="L164:S164" si="63">SUM(L165:L170)</f>
        <v>5613798</v>
      </c>
      <c r="M164" s="82">
        <f t="shared" si="63"/>
        <v>1621000</v>
      </c>
      <c r="N164" s="82">
        <f t="shared" si="63"/>
        <v>4906802</v>
      </c>
      <c r="O164" s="82">
        <f t="shared" si="63"/>
        <v>1835671.83</v>
      </c>
      <c r="P164" s="82">
        <f t="shared" si="63"/>
        <v>0</v>
      </c>
      <c r="Q164" s="82">
        <f t="shared" si="63"/>
        <v>0</v>
      </c>
      <c r="R164" s="82">
        <f t="shared" si="63"/>
        <v>3071130.17</v>
      </c>
      <c r="S164" s="82">
        <f t="shared" si="63"/>
        <v>2948499.12</v>
      </c>
      <c r="T164" s="83">
        <f>S164/R164</f>
        <v>0.96006973224453074</v>
      </c>
      <c r="U164" s="82">
        <f>SUM(U165:U170)</f>
        <v>2772935.45</v>
      </c>
      <c r="V164" s="83">
        <f>U164/R164</f>
        <v>0.90290391370809275</v>
      </c>
      <c r="W164" s="82">
        <f>SUM(W165:W170)</f>
        <v>2772935.45</v>
      </c>
      <c r="X164" s="84">
        <f>W164/R164</f>
        <v>0.90290391370809275</v>
      </c>
      <c r="Y164" s="49"/>
    </row>
    <row r="165" spans="1:25" s="65" customFormat="1" ht="39" customHeight="1" x14ac:dyDescent="0.2">
      <c r="A165" s="92" t="s">
        <v>110</v>
      </c>
      <c r="B165" s="52" t="s">
        <v>111</v>
      </c>
      <c r="C165" s="53" t="s">
        <v>52</v>
      </c>
      <c r="D165" s="54" t="s">
        <v>144</v>
      </c>
      <c r="E165" s="55" t="s">
        <v>140</v>
      </c>
      <c r="F165" s="56" t="s">
        <v>145</v>
      </c>
      <c r="G165" s="57">
        <v>1</v>
      </c>
      <c r="H165" s="53" t="s">
        <v>53</v>
      </c>
      <c r="I165" s="58" t="s">
        <v>54</v>
      </c>
      <c r="J165" s="59">
        <v>4</v>
      </c>
      <c r="K165" s="60">
        <f>200000+80000</f>
        <v>280000</v>
      </c>
      <c r="L165" s="61">
        <v>0</v>
      </c>
      <c r="M165" s="61">
        <f>16000</f>
        <v>16000</v>
      </c>
      <c r="N165" s="60">
        <f t="shared" si="55"/>
        <v>264000</v>
      </c>
      <c r="O165" s="61">
        <f>16000-16000</f>
        <v>0</v>
      </c>
      <c r="P165" s="61">
        <v>0</v>
      </c>
      <c r="Q165" s="61">
        <v>0</v>
      </c>
      <c r="R165" s="60">
        <f t="shared" si="56"/>
        <v>264000</v>
      </c>
      <c r="S165" s="61">
        <f>25520+110542.4+19400</f>
        <v>155462.39999999999</v>
      </c>
      <c r="T165" s="62">
        <f>S165/R165</f>
        <v>0.58887272727272721</v>
      </c>
      <c r="U165" s="61">
        <f>25520+19400</f>
        <v>44920</v>
      </c>
      <c r="V165" s="62">
        <f>U165/R165</f>
        <v>0.17015151515151516</v>
      </c>
      <c r="W165" s="61">
        <f>1224.96+24295.04+19400</f>
        <v>44920</v>
      </c>
      <c r="X165" s="63">
        <f>W165/R165</f>
        <v>0.17015151515151516</v>
      </c>
      <c r="Y165" s="64"/>
    </row>
    <row r="166" spans="1:25" s="65" customFormat="1" ht="39" customHeight="1" x14ac:dyDescent="0.2">
      <c r="A166" s="92" t="s">
        <v>110</v>
      </c>
      <c r="B166" s="52" t="s">
        <v>111</v>
      </c>
      <c r="C166" s="53" t="s">
        <v>52</v>
      </c>
      <c r="D166" s="54" t="s">
        <v>144</v>
      </c>
      <c r="E166" s="55" t="s">
        <v>140</v>
      </c>
      <c r="F166" s="56" t="s">
        <v>145</v>
      </c>
      <c r="G166" s="57">
        <v>1</v>
      </c>
      <c r="H166" s="53" t="s">
        <v>116</v>
      </c>
      <c r="I166" s="58" t="s">
        <v>117</v>
      </c>
      <c r="J166" s="59">
        <v>3</v>
      </c>
      <c r="K166" s="60">
        <f>24200+2000</f>
        <v>26200</v>
      </c>
      <c r="L166" s="61">
        <v>0</v>
      </c>
      <c r="M166" s="61">
        <v>0</v>
      </c>
      <c r="N166" s="60">
        <f t="shared" si="55"/>
        <v>26200</v>
      </c>
      <c r="O166" s="61">
        <v>0</v>
      </c>
      <c r="P166" s="61">
        <v>0</v>
      </c>
      <c r="Q166" s="61">
        <v>0</v>
      </c>
      <c r="R166" s="60">
        <f t="shared" si="56"/>
        <v>26200</v>
      </c>
      <c r="S166" s="61">
        <f>85.96+15000</f>
        <v>15085.96</v>
      </c>
      <c r="T166" s="62">
        <f>S166/R166</f>
        <v>0.57579999999999998</v>
      </c>
      <c r="U166" s="61">
        <f>85.96</f>
        <v>85.96</v>
      </c>
      <c r="V166" s="62">
        <f>U166/R166</f>
        <v>3.2809160305343507E-3</v>
      </c>
      <c r="W166" s="61">
        <f>85.96</f>
        <v>85.96</v>
      </c>
      <c r="X166" s="63">
        <f>W166/R166</f>
        <v>3.2809160305343507E-3</v>
      </c>
      <c r="Y166" s="64"/>
    </row>
    <row r="167" spans="1:25" s="65" customFormat="1" ht="39" customHeight="1" x14ac:dyDescent="0.2">
      <c r="A167" s="92" t="s">
        <v>110</v>
      </c>
      <c r="B167" s="52" t="s">
        <v>111</v>
      </c>
      <c r="C167" s="53" t="s">
        <v>52</v>
      </c>
      <c r="D167" s="54" t="s">
        <v>144</v>
      </c>
      <c r="E167" s="55" t="s">
        <v>140</v>
      </c>
      <c r="F167" s="56" t="s">
        <v>145</v>
      </c>
      <c r="G167" s="57">
        <v>1</v>
      </c>
      <c r="H167" s="53" t="s">
        <v>116</v>
      </c>
      <c r="I167" s="58" t="s">
        <v>117</v>
      </c>
      <c r="J167" s="59">
        <v>4</v>
      </c>
      <c r="K167" s="60">
        <v>607804</v>
      </c>
      <c r="L167" s="61">
        <v>0</v>
      </c>
      <c r="M167" s="61">
        <f>195000+410000</f>
        <v>605000</v>
      </c>
      <c r="N167" s="60">
        <f t="shared" si="55"/>
        <v>2804</v>
      </c>
      <c r="O167" s="61">
        <v>0</v>
      </c>
      <c r="P167" s="61">
        <v>0</v>
      </c>
      <c r="Q167" s="61">
        <v>0</v>
      </c>
      <c r="R167" s="60">
        <f t="shared" si="56"/>
        <v>2804</v>
      </c>
      <c r="S167" s="61">
        <v>0</v>
      </c>
      <c r="T167" s="62">
        <f>S167/R167</f>
        <v>0</v>
      </c>
      <c r="U167" s="61">
        <v>0</v>
      </c>
      <c r="V167" s="62">
        <f>U167/R167</f>
        <v>0</v>
      </c>
      <c r="W167" s="61">
        <v>0</v>
      </c>
      <c r="X167" s="63">
        <f>W167/R167</f>
        <v>0</v>
      </c>
      <c r="Y167" s="64"/>
    </row>
    <row r="168" spans="1:25" s="65" customFormat="1" ht="39" customHeight="1" x14ac:dyDescent="0.2">
      <c r="A168" s="92" t="s">
        <v>110</v>
      </c>
      <c r="B168" s="52" t="s">
        <v>111</v>
      </c>
      <c r="C168" s="53" t="s">
        <v>52</v>
      </c>
      <c r="D168" s="54" t="s">
        <v>144</v>
      </c>
      <c r="E168" s="55" t="s">
        <v>140</v>
      </c>
      <c r="F168" s="56" t="s">
        <v>145</v>
      </c>
      <c r="G168" s="57">
        <v>1</v>
      </c>
      <c r="H168" s="85" t="s">
        <v>63</v>
      </c>
      <c r="I168" s="86" t="s">
        <v>64</v>
      </c>
      <c r="J168" s="59">
        <v>4</v>
      </c>
      <c r="K168" s="60">
        <v>0</v>
      </c>
      <c r="L168" s="61">
        <f>1500000</f>
        <v>1500000</v>
      </c>
      <c r="M168" s="61">
        <v>0</v>
      </c>
      <c r="N168" s="60">
        <f t="shared" si="55"/>
        <v>1500000</v>
      </c>
      <c r="O168" s="61">
        <f>1500000-50000</f>
        <v>1450000</v>
      </c>
      <c r="P168" s="61">
        <v>0</v>
      </c>
      <c r="Q168" s="61">
        <v>0</v>
      </c>
      <c r="R168" s="60">
        <f t="shared" si="56"/>
        <v>50000</v>
      </c>
      <c r="S168" s="61">
        <f>50000</f>
        <v>50000</v>
      </c>
      <c r="T168" s="62">
        <v>0</v>
      </c>
      <c r="U168" s="61">
        <v>0</v>
      </c>
      <c r="V168" s="62">
        <v>0</v>
      </c>
      <c r="W168" s="61">
        <v>0</v>
      </c>
      <c r="X168" s="63">
        <v>0</v>
      </c>
      <c r="Y168" s="64"/>
    </row>
    <row r="169" spans="1:25" s="65" customFormat="1" ht="39" customHeight="1" x14ac:dyDescent="0.2">
      <c r="A169" s="92" t="s">
        <v>110</v>
      </c>
      <c r="B169" s="52" t="s">
        <v>111</v>
      </c>
      <c r="C169" s="53" t="s">
        <v>52</v>
      </c>
      <c r="D169" s="54" t="s">
        <v>144</v>
      </c>
      <c r="E169" s="55" t="s">
        <v>140</v>
      </c>
      <c r="F169" s="56" t="s">
        <v>145</v>
      </c>
      <c r="G169" s="57">
        <v>1</v>
      </c>
      <c r="H169" s="87" t="s">
        <v>65</v>
      </c>
      <c r="I169" s="88" t="s">
        <v>66</v>
      </c>
      <c r="J169" s="59">
        <v>4</v>
      </c>
      <c r="K169" s="60">
        <v>0</v>
      </c>
      <c r="L169" s="61">
        <f>2305994+1200000</f>
        <v>3505994</v>
      </c>
      <c r="M169" s="61">
        <f>1000000</f>
        <v>1000000</v>
      </c>
      <c r="N169" s="60">
        <f t="shared" si="55"/>
        <v>2505994</v>
      </c>
      <c r="O169" s="61">
        <f>944868.01-571622.7-363277.6+1175600-1000000</f>
        <v>185567.70999999996</v>
      </c>
      <c r="P169" s="61">
        <v>0</v>
      </c>
      <c r="Q169" s="61">
        <v>0</v>
      </c>
      <c r="R169" s="60">
        <f t="shared" si="56"/>
        <v>2320426.29</v>
      </c>
      <c r="S169" s="61">
        <f>1361125.99+230247.86+341374.84+363277.6+24400</f>
        <v>2320426.29</v>
      </c>
      <c r="T169" s="62">
        <f>S169/R169</f>
        <v>1</v>
      </c>
      <c r="U169" s="61">
        <f>1281309.7+421191.13+380819.15+152848.6+84236.44</f>
        <v>2320405.02</v>
      </c>
      <c r="V169" s="62">
        <f>U169/R169</f>
        <v>0.99999083358084173</v>
      </c>
      <c r="W169" s="61">
        <f>1281309.7+349356.46+452653.82+152848.6+84236.44</f>
        <v>2320405.02</v>
      </c>
      <c r="X169" s="63">
        <f>W169/R169</f>
        <v>0.99999083358084173</v>
      </c>
      <c r="Y169" s="64"/>
    </row>
    <row r="170" spans="1:25" s="65" customFormat="1" ht="39" customHeight="1" x14ac:dyDescent="0.2">
      <c r="A170" s="92" t="s">
        <v>110</v>
      </c>
      <c r="B170" s="52" t="s">
        <v>111</v>
      </c>
      <c r="C170" s="53" t="s">
        <v>52</v>
      </c>
      <c r="D170" s="54" t="s">
        <v>144</v>
      </c>
      <c r="E170" s="55" t="s">
        <v>140</v>
      </c>
      <c r="F170" s="56" t="s">
        <v>145</v>
      </c>
      <c r="G170" s="57">
        <v>1</v>
      </c>
      <c r="H170" s="106" t="s">
        <v>118</v>
      </c>
      <c r="I170" s="99" t="s">
        <v>119</v>
      </c>
      <c r="J170" s="59">
        <v>4</v>
      </c>
      <c r="K170" s="60">
        <v>0</v>
      </c>
      <c r="L170" s="61">
        <f>607804</f>
        <v>607804</v>
      </c>
      <c r="M170" s="61">
        <v>0</v>
      </c>
      <c r="N170" s="60">
        <f t="shared" si="55"/>
        <v>607804</v>
      </c>
      <c r="O170" s="61">
        <f>607804-172658.34-39041.54-196000</f>
        <v>200104.12000000005</v>
      </c>
      <c r="P170" s="61">
        <v>0</v>
      </c>
      <c r="Q170" s="61">
        <v>0</v>
      </c>
      <c r="R170" s="60">
        <f t="shared" si="56"/>
        <v>407699.87999999995</v>
      </c>
      <c r="S170" s="61">
        <f>170418.43+41281.45+196000-175.41</f>
        <v>407524.47000000003</v>
      </c>
      <c r="T170" s="62">
        <f>S170/R170</f>
        <v>0.99956975704775797</v>
      </c>
      <c r="U170" s="61">
        <f>102658.34+304866.13</f>
        <v>407524.47</v>
      </c>
      <c r="V170" s="62">
        <f>U170/R170</f>
        <v>0.99956975704775786</v>
      </c>
      <c r="W170" s="61">
        <f>102658.34+304866.13</f>
        <v>407524.47</v>
      </c>
      <c r="X170" s="63">
        <f>W170/R170</f>
        <v>0.99956975704775786</v>
      </c>
      <c r="Y170" s="64"/>
    </row>
    <row r="171" spans="1:25" s="42" customFormat="1" ht="9" customHeight="1" x14ac:dyDescent="0.2">
      <c r="A171" s="66"/>
      <c r="B171" s="67"/>
      <c r="C171" s="68"/>
      <c r="D171" s="69"/>
      <c r="E171" s="70"/>
      <c r="F171" s="71"/>
      <c r="G171" s="72"/>
      <c r="H171" s="68"/>
      <c r="I171" s="73"/>
      <c r="J171" s="74"/>
      <c r="K171" s="75"/>
      <c r="L171" s="76"/>
      <c r="M171" s="76"/>
      <c r="N171" s="75"/>
      <c r="O171" s="76"/>
      <c r="P171" s="76"/>
      <c r="Q171" s="76"/>
      <c r="R171" s="75"/>
      <c r="S171" s="76"/>
      <c r="T171" s="77"/>
      <c r="U171" s="76"/>
      <c r="V171" s="77"/>
      <c r="W171" s="76"/>
      <c r="X171" s="78"/>
    </row>
    <row r="172" spans="1:25" s="50" customFormat="1" ht="39" customHeight="1" x14ac:dyDescent="0.2">
      <c r="A172" s="100" t="s">
        <v>110</v>
      </c>
      <c r="B172" s="195" t="s">
        <v>111</v>
      </c>
      <c r="C172" s="196"/>
      <c r="D172" s="80" t="s">
        <v>146</v>
      </c>
      <c r="E172" s="81" t="s">
        <v>140</v>
      </c>
      <c r="F172" s="195" t="s">
        <v>147</v>
      </c>
      <c r="G172" s="197"/>
      <c r="H172" s="197"/>
      <c r="I172" s="197"/>
      <c r="J172" s="196"/>
      <c r="K172" s="82">
        <f>SUM(K173:K180)</f>
        <v>8118146</v>
      </c>
      <c r="L172" s="82">
        <f t="shared" ref="L172:S172" si="64">SUM(L173:L180)</f>
        <v>1082556.93</v>
      </c>
      <c r="M172" s="82">
        <f t="shared" si="64"/>
        <v>0</v>
      </c>
      <c r="N172" s="82">
        <f t="shared" si="64"/>
        <v>9200702.9299999997</v>
      </c>
      <c r="O172" s="82">
        <f t="shared" si="64"/>
        <v>626774.79</v>
      </c>
      <c r="P172" s="82">
        <f t="shared" si="64"/>
        <v>0</v>
      </c>
      <c r="Q172" s="82">
        <f t="shared" si="64"/>
        <v>0</v>
      </c>
      <c r="R172" s="82">
        <f t="shared" si="64"/>
        <v>8573928.1400000006</v>
      </c>
      <c r="S172" s="82">
        <f t="shared" si="64"/>
        <v>6640552.1200000001</v>
      </c>
      <c r="T172" s="83">
        <f t="shared" ref="T172:T178" si="65">S172/R172</f>
        <v>0.77450522229359386</v>
      </c>
      <c r="U172" s="82">
        <f>SUM(U173:U180)</f>
        <v>3434800.6699999995</v>
      </c>
      <c r="V172" s="83">
        <f t="shared" ref="V172:V178" si="66">U172/R172</f>
        <v>0.40060992043723836</v>
      </c>
      <c r="W172" s="82">
        <f>SUM(W173:W180)</f>
        <v>3404466.0200000005</v>
      </c>
      <c r="X172" s="84">
        <f t="shared" ref="X172:X178" si="67">W172/R172</f>
        <v>0.39707190967896311</v>
      </c>
      <c r="Y172" s="49"/>
    </row>
    <row r="173" spans="1:25" s="65" customFormat="1" ht="39" customHeight="1" x14ac:dyDescent="0.2">
      <c r="A173" s="92" t="s">
        <v>110</v>
      </c>
      <c r="B173" s="52" t="s">
        <v>111</v>
      </c>
      <c r="C173" s="53" t="s">
        <v>52</v>
      </c>
      <c r="D173" s="54" t="s">
        <v>146</v>
      </c>
      <c r="E173" s="55" t="s">
        <v>140</v>
      </c>
      <c r="F173" s="56" t="s">
        <v>147</v>
      </c>
      <c r="G173" s="57">
        <v>1</v>
      </c>
      <c r="H173" s="53" t="s">
        <v>53</v>
      </c>
      <c r="I173" s="58" t="s">
        <v>54</v>
      </c>
      <c r="J173" s="53" t="s">
        <v>148</v>
      </c>
      <c r="K173" s="60">
        <v>1515620</v>
      </c>
      <c r="L173" s="61">
        <v>0</v>
      </c>
      <c r="M173" s="61">
        <v>0</v>
      </c>
      <c r="N173" s="60">
        <f t="shared" si="55"/>
        <v>1515620</v>
      </c>
      <c r="O173" s="61">
        <v>0</v>
      </c>
      <c r="P173" s="61">
        <v>0</v>
      </c>
      <c r="Q173" s="61">
        <v>0</v>
      </c>
      <c r="R173" s="60">
        <f t="shared" si="56"/>
        <v>1515620</v>
      </c>
      <c r="S173" s="61">
        <f>228468.37+145624.01+474100.46+255196.35+381323.74-3234.49+4909-3522.31</f>
        <v>1482865.1300000001</v>
      </c>
      <c r="T173" s="62">
        <f t="shared" si="65"/>
        <v>0.97838846808566804</v>
      </c>
      <c r="U173" s="61">
        <f>6716.89+26918.54+26154.66+112478.76+80568.64+207133.21+126429.28</f>
        <v>586399.98</v>
      </c>
      <c r="V173" s="62">
        <f t="shared" si="66"/>
        <v>0.38690435597313311</v>
      </c>
      <c r="W173" s="61">
        <f>806.02+13137.27+22098.37+136227.19+70952.77+137609.75+205568.61</f>
        <v>586399.98</v>
      </c>
      <c r="X173" s="63">
        <f t="shared" si="67"/>
        <v>0.38690435597313311</v>
      </c>
      <c r="Y173" s="64"/>
    </row>
    <row r="174" spans="1:25" s="65" customFormat="1" ht="39" customHeight="1" x14ac:dyDescent="0.2">
      <c r="A174" s="92" t="s">
        <v>110</v>
      </c>
      <c r="B174" s="52" t="s">
        <v>111</v>
      </c>
      <c r="C174" s="53" t="s">
        <v>52</v>
      </c>
      <c r="D174" s="54" t="s">
        <v>146</v>
      </c>
      <c r="E174" s="55" t="s">
        <v>140</v>
      </c>
      <c r="F174" s="56" t="s">
        <v>147</v>
      </c>
      <c r="G174" s="57">
        <v>1</v>
      </c>
      <c r="H174" s="53" t="s">
        <v>53</v>
      </c>
      <c r="I174" s="58" t="s">
        <v>54</v>
      </c>
      <c r="J174" s="53" t="s">
        <v>149</v>
      </c>
      <c r="K174" s="60">
        <v>100000</v>
      </c>
      <c r="L174" s="61">
        <f>95375</f>
        <v>95375</v>
      </c>
      <c r="M174" s="61">
        <v>0</v>
      </c>
      <c r="N174" s="60">
        <f t="shared" si="55"/>
        <v>195375</v>
      </c>
      <c r="O174" s="61">
        <v>0</v>
      </c>
      <c r="P174" s="61">
        <v>0</v>
      </c>
      <c r="Q174" s="61">
        <v>0</v>
      </c>
      <c r="R174" s="60">
        <f t="shared" si="56"/>
        <v>195375</v>
      </c>
      <c r="S174" s="61">
        <f>41000+40000+3868.96+57597.6+37776.66</f>
        <v>180243.22</v>
      </c>
      <c r="T174" s="62">
        <f t="shared" si="65"/>
        <v>0.92255007037747916</v>
      </c>
      <c r="U174" s="61">
        <f>17597.6+3868.96+79388.33</f>
        <v>100854.89</v>
      </c>
      <c r="V174" s="62">
        <f t="shared" si="66"/>
        <v>0.51621184900831729</v>
      </c>
      <c r="W174" s="61">
        <f>17597.6+3868.96+79388.33</f>
        <v>100854.89</v>
      </c>
      <c r="X174" s="63">
        <f t="shared" si="67"/>
        <v>0.51621184900831729</v>
      </c>
      <c r="Y174" s="64"/>
    </row>
    <row r="175" spans="1:25" s="65" customFormat="1" ht="39" customHeight="1" x14ac:dyDescent="0.2">
      <c r="A175" s="92" t="s">
        <v>110</v>
      </c>
      <c r="B175" s="52" t="s">
        <v>111</v>
      </c>
      <c r="C175" s="53" t="s">
        <v>52</v>
      </c>
      <c r="D175" s="54" t="s">
        <v>146</v>
      </c>
      <c r="E175" s="55" t="s">
        <v>140</v>
      </c>
      <c r="F175" s="56" t="s">
        <v>147</v>
      </c>
      <c r="G175" s="57">
        <v>1</v>
      </c>
      <c r="H175" s="53" t="s">
        <v>114</v>
      </c>
      <c r="I175" s="58" t="s">
        <v>115</v>
      </c>
      <c r="J175" s="53" t="s">
        <v>148</v>
      </c>
      <c r="K175" s="60">
        <v>0</v>
      </c>
      <c r="L175" s="61">
        <f>24563.93</f>
        <v>24563.93</v>
      </c>
      <c r="M175" s="61">
        <v>0</v>
      </c>
      <c r="N175" s="60">
        <f t="shared" si="55"/>
        <v>24563.93</v>
      </c>
      <c r="O175" s="61">
        <v>0</v>
      </c>
      <c r="P175" s="61">
        <v>0</v>
      </c>
      <c r="Q175" s="61">
        <v>0</v>
      </c>
      <c r="R175" s="60">
        <f t="shared" si="56"/>
        <v>24563.93</v>
      </c>
      <c r="S175" s="61">
        <v>0</v>
      </c>
      <c r="T175" s="62">
        <f t="shared" si="65"/>
        <v>0</v>
      </c>
      <c r="U175" s="61">
        <v>0</v>
      </c>
      <c r="V175" s="62">
        <f t="shared" si="66"/>
        <v>0</v>
      </c>
      <c r="W175" s="61">
        <v>0</v>
      </c>
      <c r="X175" s="63">
        <f t="shared" si="67"/>
        <v>0</v>
      </c>
      <c r="Y175" s="64"/>
    </row>
    <row r="176" spans="1:25" s="65" customFormat="1" ht="39" customHeight="1" x14ac:dyDescent="0.2">
      <c r="A176" s="92" t="s">
        <v>110</v>
      </c>
      <c r="B176" s="52" t="s">
        <v>111</v>
      </c>
      <c r="C176" s="53" t="s">
        <v>52</v>
      </c>
      <c r="D176" s="54" t="s">
        <v>146</v>
      </c>
      <c r="E176" s="55" t="s">
        <v>140</v>
      </c>
      <c r="F176" s="56" t="s">
        <v>147</v>
      </c>
      <c r="G176" s="57">
        <v>1</v>
      </c>
      <c r="H176" s="53" t="s">
        <v>116</v>
      </c>
      <c r="I176" s="58" t="s">
        <v>117</v>
      </c>
      <c r="J176" s="59">
        <v>3</v>
      </c>
      <c r="K176" s="60">
        <f>133510+838325+19000+6710+5453331+1650</f>
        <v>6452526</v>
      </c>
      <c r="L176" s="61">
        <v>0</v>
      </c>
      <c r="M176" s="61">
        <v>0</v>
      </c>
      <c r="N176" s="60">
        <f>K176+L176-M176</f>
        <v>6452526</v>
      </c>
      <c r="O176" s="61">
        <v>0</v>
      </c>
      <c r="P176" s="61">
        <v>0</v>
      </c>
      <c r="Q176" s="61">
        <v>0</v>
      </c>
      <c r="R176" s="60">
        <f>N176-O176+P176+Q176</f>
        <v>6452526</v>
      </c>
      <c r="S176" s="61">
        <f>118829.78+235608.46+151839.52+466221.54+439251.11+275229.49+489587.51+295595.58+722665.83+893088.72+673458.17</f>
        <v>4761375.71</v>
      </c>
      <c r="T176" s="62">
        <f t="shared" si="65"/>
        <v>0.73790879881770333</v>
      </c>
      <c r="U176" s="61">
        <f>31787.35+76707.45+175549.75+243481.7+290968.46+233899.65+465964.28+231760.9+153036.69+352296.81+317123.05</f>
        <v>2572576.0899999994</v>
      </c>
      <c r="V176" s="62">
        <f t="shared" si="66"/>
        <v>0.39869286694854067</v>
      </c>
      <c r="W176" s="61">
        <f>31787.35+74493.08+101583.67+241646.67+260650.74+339386.58+440101.73+224114.03+188554+308763.01+331160.58</f>
        <v>2542241.4400000004</v>
      </c>
      <c r="X176" s="63">
        <f t="shared" si="67"/>
        <v>0.39399166156013948</v>
      </c>
      <c r="Y176" s="64"/>
    </row>
    <row r="177" spans="1:25" s="65" customFormat="1" ht="39" customHeight="1" x14ac:dyDescent="0.2">
      <c r="A177" s="92" t="s">
        <v>110</v>
      </c>
      <c r="B177" s="52" t="s">
        <v>111</v>
      </c>
      <c r="C177" s="53" t="s">
        <v>52</v>
      </c>
      <c r="D177" s="54" t="s">
        <v>146</v>
      </c>
      <c r="E177" s="55" t="s">
        <v>140</v>
      </c>
      <c r="F177" s="56" t="s">
        <v>147</v>
      </c>
      <c r="G177" s="57">
        <v>1</v>
      </c>
      <c r="H177" s="53" t="s">
        <v>116</v>
      </c>
      <c r="I177" s="58" t="s">
        <v>117</v>
      </c>
      <c r="J177" s="59">
        <v>4</v>
      </c>
      <c r="K177" s="60">
        <v>50000</v>
      </c>
      <c r="L177" s="61">
        <f>130000</f>
        <v>130000</v>
      </c>
      <c r="M177" s="61">
        <v>0</v>
      </c>
      <c r="N177" s="60">
        <f>K177+L177-M177</f>
        <v>180000</v>
      </c>
      <c r="O177" s="61">
        <v>0</v>
      </c>
      <c r="P177" s="61">
        <v>0</v>
      </c>
      <c r="Q177" s="61">
        <v>0</v>
      </c>
      <c r="R177" s="60">
        <f>N177-O177+P177+Q177</f>
        <v>180000</v>
      </c>
      <c r="S177" s="61">
        <f>3915+12684</f>
        <v>16599</v>
      </c>
      <c r="T177" s="62">
        <f t="shared" si="65"/>
        <v>9.2216666666666669E-2</v>
      </c>
      <c r="U177" s="61">
        <f>3915+12684</f>
        <v>16599</v>
      </c>
      <c r="V177" s="62">
        <f t="shared" si="66"/>
        <v>9.2216666666666669E-2</v>
      </c>
      <c r="W177" s="61">
        <f>3915+12684</f>
        <v>16599</v>
      </c>
      <c r="X177" s="63">
        <f t="shared" si="67"/>
        <v>9.2216666666666669E-2</v>
      </c>
      <c r="Y177" s="64"/>
    </row>
    <row r="178" spans="1:25" s="65" customFormat="1" ht="39" customHeight="1" x14ac:dyDescent="0.2">
      <c r="A178" s="92" t="s">
        <v>110</v>
      </c>
      <c r="B178" s="52" t="s">
        <v>111</v>
      </c>
      <c r="C178" s="53" t="s">
        <v>52</v>
      </c>
      <c r="D178" s="54" t="s">
        <v>146</v>
      </c>
      <c r="E178" s="55" t="s">
        <v>140</v>
      </c>
      <c r="F178" s="56" t="s">
        <v>147</v>
      </c>
      <c r="G178" s="57">
        <v>1</v>
      </c>
      <c r="H178" s="87" t="s">
        <v>65</v>
      </c>
      <c r="I178" s="88" t="s">
        <v>66</v>
      </c>
      <c r="J178" s="59">
        <v>3</v>
      </c>
      <c r="K178" s="60">
        <v>0</v>
      </c>
      <c r="L178" s="61">
        <f>600029+80000</f>
        <v>680029</v>
      </c>
      <c r="M178" s="61">
        <v>0</v>
      </c>
      <c r="N178" s="60">
        <f t="shared" ref="N178:N227" si="68">K178+L178-M178</f>
        <v>680029</v>
      </c>
      <c r="O178" s="61">
        <f>600029-120409.21-5434</f>
        <v>474185.79</v>
      </c>
      <c r="P178" s="61">
        <v>0</v>
      </c>
      <c r="Q178" s="61">
        <v>0</v>
      </c>
      <c r="R178" s="60">
        <f>N178-O178+P178+Q178</f>
        <v>205843.21000000002</v>
      </c>
      <c r="S178" s="61">
        <f>120409.21+16866.84+20299.27+18528.93+23364.81</f>
        <v>199469.06</v>
      </c>
      <c r="T178" s="62">
        <f t="shared" si="65"/>
        <v>0.96903395550428884</v>
      </c>
      <c r="U178" s="61">
        <f>15986.32+21144.91+18528.93+102710.55</f>
        <v>158370.71</v>
      </c>
      <c r="V178" s="62">
        <f t="shared" si="66"/>
        <v>0.76937543871376657</v>
      </c>
      <c r="W178" s="61">
        <f>15986.32+18031.3+21642.54+102710.55</f>
        <v>158370.71</v>
      </c>
      <c r="X178" s="63">
        <f t="shared" si="67"/>
        <v>0.76937543871376657</v>
      </c>
      <c r="Y178" s="64"/>
    </row>
    <row r="179" spans="1:25" s="65" customFormat="1" ht="39" customHeight="1" x14ac:dyDescent="0.2">
      <c r="A179" s="92" t="s">
        <v>110</v>
      </c>
      <c r="B179" s="52" t="s">
        <v>111</v>
      </c>
      <c r="C179" s="53" t="s">
        <v>52</v>
      </c>
      <c r="D179" s="54" t="s">
        <v>146</v>
      </c>
      <c r="E179" s="55" t="s">
        <v>140</v>
      </c>
      <c r="F179" s="56" t="s">
        <v>147</v>
      </c>
      <c r="G179" s="57">
        <v>1</v>
      </c>
      <c r="H179" s="87" t="s">
        <v>65</v>
      </c>
      <c r="I179" s="88" t="s">
        <v>66</v>
      </c>
      <c r="J179" s="59">
        <v>4</v>
      </c>
      <c r="K179" s="60">
        <v>0</v>
      </c>
      <c r="L179" s="61">
        <f>42589</f>
        <v>42589</v>
      </c>
      <c r="M179" s="61">
        <v>0</v>
      </c>
      <c r="N179" s="60">
        <f t="shared" si="68"/>
        <v>42589</v>
      </c>
      <c r="O179" s="61">
        <f>42589</f>
        <v>42589</v>
      </c>
      <c r="P179" s="61">
        <v>0</v>
      </c>
      <c r="Q179" s="61">
        <v>0</v>
      </c>
      <c r="R179" s="60">
        <f t="shared" ref="R179:R227" si="69">N179-O179+P179+Q179</f>
        <v>0</v>
      </c>
      <c r="S179" s="61">
        <v>0</v>
      </c>
      <c r="T179" s="62">
        <v>0</v>
      </c>
      <c r="U179" s="61">
        <v>0</v>
      </c>
      <c r="V179" s="62">
        <v>0</v>
      </c>
      <c r="W179" s="61">
        <v>0</v>
      </c>
      <c r="X179" s="63">
        <v>0</v>
      </c>
      <c r="Y179" s="64"/>
    </row>
    <row r="180" spans="1:25" s="65" customFormat="1" ht="39" customHeight="1" x14ac:dyDescent="0.2">
      <c r="A180" s="92" t="s">
        <v>110</v>
      </c>
      <c r="B180" s="52" t="s">
        <v>111</v>
      </c>
      <c r="C180" s="53" t="s">
        <v>52</v>
      </c>
      <c r="D180" s="54" t="s">
        <v>146</v>
      </c>
      <c r="E180" s="55" t="s">
        <v>140</v>
      </c>
      <c r="F180" s="56" t="s">
        <v>147</v>
      </c>
      <c r="G180" s="57">
        <v>1</v>
      </c>
      <c r="H180" s="106" t="s">
        <v>118</v>
      </c>
      <c r="I180" s="99" t="s">
        <v>119</v>
      </c>
      <c r="J180" s="59">
        <v>3</v>
      </c>
      <c r="K180" s="60">
        <v>0</v>
      </c>
      <c r="L180" s="61">
        <f>110000</f>
        <v>110000</v>
      </c>
      <c r="M180" s="61">
        <v>0</v>
      </c>
      <c r="N180" s="60">
        <f t="shared" si="68"/>
        <v>110000</v>
      </c>
      <c r="O180" s="61">
        <f>110000</f>
        <v>110000</v>
      </c>
      <c r="P180" s="61">
        <v>0</v>
      </c>
      <c r="Q180" s="61">
        <v>0</v>
      </c>
      <c r="R180" s="60">
        <f t="shared" si="69"/>
        <v>0</v>
      </c>
      <c r="S180" s="61">
        <v>0</v>
      </c>
      <c r="T180" s="62">
        <v>0</v>
      </c>
      <c r="U180" s="61">
        <v>0</v>
      </c>
      <c r="V180" s="62">
        <v>0</v>
      </c>
      <c r="W180" s="61">
        <v>0</v>
      </c>
      <c r="X180" s="63">
        <v>0</v>
      </c>
      <c r="Y180" s="64"/>
    </row>
    <row r="181" spans="1:25" s="42" customFormat="1" ht="9" customHeight="1" x14ac:dyDescent="0.2">
      <c r="A181" s="66"/>
      <c r="B181" s="67"/>
      <c r="C181" s="68"/>
      <c r="D181" s="69"/>
      <c r="E181" s="70"/>
      <c r="F181" s="71"/>
      <c r="G181" s="72"/>
      <c r="H181" s="68"/>
      <c r="I181" s="73"/>
      <c r="J181" s="74"/>
      <c r="K181" s="75"/>
      <c r="L181" s="76"/>
      <c r="M181" s="76"/>
      <c r="N181" s="75"/>
      <c r="O181" s="76"/>
      <c r="P181" s="76"/>
      <c r="Q181" s="76"/>
      <c r="R181" s="75"/>
      <c r="S181" s="76"/>
      <c r="T181" s="77"/>
      <c r="U181" s="76"/>
      <c r="V181" s="77"/>
      <c r="W181" s="76"/>
      <c r="X181" s="78"/>
    </row>
    <row r="182" spans="1:25" s="50" customFormat="1" ht="39" customHeight="1" x14ac:dyDescent="0.2">
      <c r="A182" s="100" t="s">
        <v>110</v>
      </c>
      <c r="B182" s="195" t="s">
        <v>111</v>
      </c>
      <c r="C182" s="196"/>
      <c r="D182" s="80" t="s">
        <v>150</v>
      </c>
      <c r="E182" s="81" t="s">
        <v>140</v>
      </c>
      <c r="F182" s="195" t="s">
        <v>151</v>
      </c>
      <c r="G182" s="197"/>
      <c r="H182" s="197"/>
      <c r="I182" s="197"/>
      <c r="J182" s="196"/>
      <c r="K182" s="82">
        <f>SUM(K183:K185)</f>
        <v>1404334</v>
      </c>
      <c r="L182" s="82">
        <f t="shared" ref="L182:S182" si="70">SUM(L183:L185)</f>
        <v>0</v>
      </c>
      <c r="M182" s="82">
        <f t="shared" si="70"/>
        <v>0</v>
      </c>
      <c r="N182" s="82">
        <f t="shared" si="70"/>
        <v>1404334</v>
      </c>
      <c r="O182" s="82">
        <f t="shared" si="70"/>
        <v>0</v>
      </c>
      <c r="P182" s="82">
        <f t="shared" si="70"/>
        <v>0</v>
      </c>
      <c r="Q182" s="82">
        <f t="shared" si="70"/>
        <v>0</v>
      </c>
      <c r="R182" s="82">
        <f t="shared" si="70"/>
        <v>1404334</v>
      </c>
      <c r="S182" s="82">
        <f t="shared" si="70"/>
        <v>916622.4</v>
      </c>
      <c r="T182" s="83">
        <f>S182/R182</f>
        <v>0.65270968302412391</v>
      </c>
      <c r="U182" s="82">
        <f>SUM(U183:U185)</f>
        <v>577807.82999999996</v>
      </c>
      <c r="V182" s="83">
        <f>U182/R182</f>
        <v>0.41144615881976793</v>
      </c>
      <c r="W182" s="82">
        <f>SUM(W183:W185)</f>
        <v>575260.63</v>
      </c>
      <c r="X182" s="84">
        <f>W182/R182</f>
        <v>0.40963234529677411</v>
      </c>
      <c r="Y182" s="49"/>
    </row>
    <row r="183" spans="1:25" s="65" customFormat="1" ht="39" customHeight="1" x14ac:dyDescent="0.2">
      <c r="A183" s="92" t="s">
        <v>110</v>
      </c>
      <c r="B183" s="52" t="s">
        <v>111</v>
      </c>
      <c r="C183" s="53" t="s">
        <v>52</v>
      </c>
      <c r="D183" s="54" t="s">
        <v>150</v>
      </c>
      <c r="E183" s="55" t="s">
        <v>140</v>
      </c>
      <c r="F183" s="56" t="s">
        <v>151</v>
      </c>
      <c r="G183" s="57">
        <v>1</v>
      </c>
      <c r="H183" s="53" t="s">
        <v>53</v>
      </c>
      <c r="I183" s="58" t="s">
        <v>54</v>
      </c>
      <c r="J183" s="53" t="s">
        <v>149</v>
      </c>
      <c r="K183" s="60">
        <v>200000</v>
      </c>
      <c r="L183" s="61">
        <v>0</v>
      </c>
      <c r="M183" s="61">
        <v>0</v>
      </c>
      <c r="N183" s="60">
        <f t="shared" si="68"/>
        <v>200000</v>
      </c>
      <c r="O183" s="61">
        <v>0</v>
      </c>
      <c r="P183" s="61">
        <v>0</v>
      </c>
      <c r="Q183" s="61">
        <v>0</v>
      </c>
      <c r="R183" s="60">
        <f t="shared" si="69"/>
        <v>200000</v>
      </c>
      <c r="S183" s="61">
        <f>22050</f>
        <v>22050</v>
      </c>
      <c r="T183" s="62">
        <f>S183/R183</f>
        <v>0.11025</v>
      </c>
      <c r="U183" s="61">
        <v>0</v>
      </c>
      <c r="V183" s="62">
        <f>U183/R183</f>
        <v>0</v>
      </c>
      <c r="W183" s="61">
        <v>0</v>
      </c>
      <c r="X183" s="63">
        <f t="shared" ref="X183:X327" si="71">W183/R183</f>
        <v>0</v>
      </c>
      <c r="Y183" s="64"/>
    </row>
    <row r="184" spans="1:25" s="65" customFormat="1" ht="39" customHeight="1" x14ac:dyDescent="0.2">
      <c r="A184" s="92" t="s">
        <v>110</v>
      </c>
      <c r="B184" s="52" t="s">
        <v>111</v>
      </c>
      <c r="C184" s="53" t="s">
        <v>52</v>
      </c>
      <c r="D184" s="54" t="s">
        <v>150</v>
      </c>
      <c r="E184" s="55" t="s">
        <v>140</v>
      </c>
      <c r="F184" s="56" t="s">
        <v>151</v>
      </c>
      <c r="G184" s="57">
        <v>1</v>
      </c>
      <c r="H184" s="53" t="s">
        <v>61</v>
      </c>
      <c r="I184" s="58" t="s">
        <v>62</v>
      </c>
      <c r="J184" s="53" t="s">
        <v>148</v>
      </c>
      <c r="K184" s="60">
        <v>100000</v>
      </c>
      <c r="L184" s="61">
        <v>0</v>
      </c>
      <c r="M184" s="61">
        <v>0</v>
      </c>
      <c r="N184" s="60">
        <f t="shared" si="68"/>
        <v>100000</v>
      </c>
      <c r="O184" s="61">
        <v>0</v>
      </c>
      <c r="P184" s="61">
        <v>0</v>
      </c>
      <c r="Q184" s="61">
        <v>0</v>
      </c>
      <c r="R184" s="60">
        <f t="shared" si="69"/>
        <v>100000</v>
      </c>
      <c r="S184" s="61">
        <v>0</v>
      </c>
      <c r="T184" s="62">
        <f>S184/R184</f>
        <v>0</v>
      </c>
      <c r="U184" s="61">
        <v>0</v>
      </c>
      <c r="V184" s="62">
        <f>U184/R184</f>
        <v>0</v>
      </c>
      <c r="W184" s="61">
        <v>0</v>
      </c>
      <c r="X184" s="63">
        <f t="shared" si="71"/>
        <v>0</v>
      </c>
      <c r="Y184" s="64"/>
    </row>
    <row r="185" spans="1:25" s="65" customFormat="1" ht="39" customHeight="1" x14ac:dyDescent="0.2">
      <c r="A185" s="92" t="s">
        <v>110</v>
      </c>
      <c r="B185" s="52" t="s">
        <v>111</v>
      </c>
      <c r="C185" s="53" t="s">
        <v>52</v>
      </c>
      <c r="D185" s="54" t="s">
        <v>150</v>
      </c>
      <c r="E185" s="55" t="s">
        <v>140</v>
      </c>
      <c r="F185" s="56" t="s">
        <v>151</v>
      </c>
      <c r="G185" s="57">
        <v>1</v>
      </c>
      <c r="H185" s="53" t="s">
        <v>116</v>
      </c>
      <c r="I185" s="58" t="s">
        <v>117</v>
      </c>
      <c r="J185" s="59">
        <v>3</v>
      </c>
      <c r="K185" s="60">
        <f>431834+16500+655000+1000</f>
        <v>1104334</v>
      </c>
      <c r="L185" s="61">
        <v>0</v>
      </c>
      <c r="M185" s="61">
        <v>0</v>
      </c>
      <c r="N185" s="60">
        <f t="shared" si="68"/>
        <v>1104334</v>
      </c>
      <c r="O185" s="61">
        <v>0</v>
      </c>
      <c r="P185" s="61">
        <v>0</v>
      </c>
      <c r="Q185" s="61">
        <v>0</v>
      </c>
      <c r="R185" s="60">
        <f t="shared" si="69"/>
        <v>1104334</v>
      </c>
      <c r="S185" s="61">
        <f>846+70617.86+3024.1+71604.02+47824+156418.98+104749.57+56479.92+175373.12+92772+114862.83</f>
        <v>894572.4</v>
      </c>
      <c r="T185" s="62">
        <f>S185/R185</f>
        <v>0.81005601566192842</v>
      </c>
      <c r="U185" s="61">
        <f>27292.16+23609.52+57711.17+37075.11+61119.76+88043.36+44308.6+74438.79+50705.68+113503.68</f>
        <v>577807.82999999996</v>
      </c>
      <c r="V185" s="62">
        <f>U185/R185</f>
        <v>0.5232183650960669</v>
      </c>
      <c r="W185" s="61">
        <f>1072.38+31703.27+73233.94+39678.37+61119.76+70476.49+45185.87+51481.44+90352.63+110956.48</f>
        <v>575260.63</v>
      </c>
      <c r="X185" s="63">
        <f t="shared" si="71"/>
        <v>0.52091181653376606</v>
      </c>
      <c r="Y185" s="64"/>
    </row>
    <row r="186" spans="1:25" s="42" customFormat="1" ht="9" customHeight="1" x14ac:dyDescent="0.2">
      <c r="A186" s="66"/>
      <c r="B186" s="67"/>
      <c r="C186" s="68"/>
      <c r="D186" s="69"/>
      <c r="E186" s="70"/>
      <c r="F186" s="71"/>
      <c r="G186" s="72"/>
      <c r="H186" s="68"/>
      <c r="I186" s="73"/>
      <c r="J186" s="74"/>
      <c r="K186" s="75"/>
      <c r="L186" s="76"/>
      <c r="M186" s="76"/>
      <c r="N186" s="75"/>
      <c r="O186" s="76"/>
      <c r="P186" s="76"/>
      <c r="Q186" s="76"/>
      <c r="R186" s="75"/>
      <c r="S186" s="76"/>
      <c r="T186" s="77"/>
      <c r="U186" s="76"/>
      <c r="V186" s="77"/>
      <c r="W186" s="76"/>
      <c r="X186" s="78"/>
    </row>
    <row r="187" spans="1:25" s="50" customFormat="1" ht="39" customHeight="1" x14ac:dyDescent="0.2">
      <c r="A187" s="100" t="s">
        <v>110</v>
      </c>
      <c r="B187" s="195" t="s">
        <v>111</v>
      </c>
      <c r="C187" s="196"/>
      <c r="D187" s="80" t="s">
        <v>152</v>
      </c>
      <c r="E187" s="81" t="s">
        <v>140</v>
      </c>
      <c r="F187" s="195" t="s">
        <v>153</v>
      </c>
      <c r="G187" s="197"/>
      <c r="H187" s="197"/>
      <c r="I187" s="197"/>
      <c r="J187" s="196"/>
      <c r="K187" s="82">
        <f>SUM(K188:K190)</f>
        <v>2070840</v>
      </c>
      <c r="L187" s="82">
        <f t="shared" ref="L187:S187" si="72">SUM(L188:L190)</f>
        <v>1450</v>
      </c>
      <c r="M187" s="82">
        <f t="shared" si="72"/>
        <v>0</v>
      </c>
      <c r="N187" s="82">
        <f t="shared" si="72"/>
        <v>2072290</v>
      </c>
      <c r="O187" s="82">
        <f t="shared" si="72"/>
        <v>1450</v>
      </c>
      <c r="P187" s="82">
        <f t="shared" si="72"/>
        <v>0</v>
      </c>
      <c r="Q187" s="82">
        <f t="shared" si="72"/>
        <v>0</v>
      </c>
      <c r="R187" s="82">
        <f t="shared" si="72"/>
        <v>2070840</v>
      </c>
      <c r="S187" s="82">
        <f t="shared" si="72"/>
        <v>1363630.8900000001</v>
      </c>
      <c r="T187" s="83">
        <f>S187/R187</f>
        <v>0.65849167004693754</v>
      </c>
      <c r="U187" s="82">
        <f>SUM(U188:U190)</f>
        <v>1060510.52</v>
      </c>
      <c r="V187" s="83">
        <f>U187/R187</f>
        <v>0.51211610747329583</v>
      </c>
      <c r="W187" s="82">
        <f>SUM(W188:W190)</f>
        <v>1052624.22</v>
      </c>
      <c r="X187" s="84">
        <f>W187/R187</f>
        <v>0.5083078460914412</v>
      </c>
      <c r="Y187" s="49"/>
    </row>
    <row r="188" spans="1:25" s="65" customFormat="1" ht="39" customHeight="1" x14ac:dyDescent="0.2">
      <c r="A188" s="92" t="s">
        <v>110</v>
      </c>
      <c r="B188" s="52" t="s">
        <v>111</v>
      </c>
      <c r="C188" s="53" t="s">
        <v>52</v>
      </c>
      <c r="D188" s="54" t="s">
        <v>152</v>
      </c>
      <c r="E188" s="55" t="s">
        <v>140</v>
      </c>
      <c r="F188" s="56" t="s">
        <v>153</v>
      </c>
      <c r="G188" s="57">
        <v>1</v>
      </c>
      <c r="H188" s="53" t="s">
        <v>53</v>
      </c>
      <c r="I188" s="58" t="s">
        <v>54</v>
      </c>
      <c r="J188" s="59">
        <v>4</v>
      </c>
      <c r="K188" s="60">
        <v>30000</v>
      </c>
      <c r="L188" s="61">
        <v>0</v>
      </c>
      <c r="M188" s="61">
        <v>0</v>
      </c>
      <c r="N188" s="60">
        <f t="shared" si="68"/>
        <v>30000</v>
      </c>
      <c r="O188" s="61">
        <v>0</v>
      </c>
      <c r="P188" s="61">
        <v>0</v>
      </c>
      <c r="Q188" s="61">
        <v>0</v>
      </c>
      <c r="R188" s="60">
        <f t="shared" si="69"/>
        <v>30000</v>
      </c>
      <c r="S188" s="61">
        <v>0</v>
      </c>
      <c r="T188" s="62">
        <f>S188/R188</f>
        <v>0</v>
      </c>
      <c r="U188" s="61">
        <v>0</v>
      </c>
      <c r="V188" s="62">
        <f t="shared" ref="V188:V264" si="73">U188/R188</f>
        <v>0</v>
      </c>
      <c r="W188" s="61">
        <v>0</v>
      </c>
      <c r="X188" s="63">
        <f t="shared" si="71"/>
        <v>0</v>
      </c>
      <c r="Y188" s="64"/>
    </row>
    <row r="189" spans="1:25" s="65" customFormat="1" ht="39" customHeight="1" x14ac:dyDescent="0.2">
      <c r="A189" s="92" t="s">
        <v>110</v>
      </c>
      <c r="B189" s="52" t="s">
        <v>111</v>
      </c>
      <c r="C189" s="53" t="s">
        <v>52</v>
      </c>
      <c r="D189" s="54" t="s">
        <v>152</v>
      </c>
      <c r="E189" s="55" t="s">
        <v>140</v>
      </c>
      <c r="F189" s="56" t="s">
        <v>153</v>
      </c>
      <c r="G189" s="57">
        <v>1</v>
      </c>
      <c r="H189" s="53" t="s">
        <v>116</v>
      </c>
      <c r="I189" s="58" t="s">
        <v>117</v>
      </c>
      <c r="J189" s="59">
        <v>3</v>
      </c>
      <c r="K189" s="60">
        <f>210890+1151950+677000+1000</f>
        <v>2040840</v>
      </c>
      <c r="L189" s="61">
        <v>0</v>
      </c>
      <c r="M189" s="61">
        <v>0</v>
      </c>
      <c r="N189" s="60">
        <f t="shared" si="68"/>
        <v>2040840</v>
      </c>
      <c r="O189" s="61">
        <v>0</v>
      </c>
      <c r="P189" s="61">
        <v>0</v>
      </c>
      <c r="Q189" s="61">
        <v>0</v>
      </c>
      <c r="R189" s="60">
        <f t="shared" si="69"/>
        <v>2040840</v>
      </c>
      <c r="S189" s="61">
        <f>3164+132210.37+5986.28+223361.38+113553.86+124338.18+165404.03+117336+110417.85+244545.45+123313.49</f>
        <v>1363630.8900000001</v>
      </c>
      <c r="T189" s="62">
        <f>S189/R189</f>
        <v>0.66817138531193043</v>
      </c>
      <c r="U189" s="61">
        <f>2924+16364.46+97043.23+210599.11+97091.65+113852.3+106638.79+117205.52+41777.22+194904.74+62109.5</f>
        <v>1060510.52</v>
      </c>
      <c r="V189" s="62">
        <f t="shared" si="73"/>
        <v>0.51964412692812767</v>
      </c>
      <c r="W189" s="61">
        <f>2924+15180.44+98227.25+210599.11+26464.99+182662.12+99849.21+48247.22+105230.53+209016.15+54223.2</f>
        <v>1052624.22</v>
      </c>
      <c r="X189" s="63">
        <f t="shared" si="71"/>
        <v>0.5157798847533368</v>
      </c>
      <c r="Y189" s="64"/>
    </row>
    <row r="190" spans="1:25" s="65" customFormat="1" ht="39" customHeight="1" x14ac:dyDescent="0.2">
      <c r="A190" s="92" t="s">
        <v>110</v>
      </c>
      <c r="B190" s="52" t="s">
        <v>111</v>
      </c>
      <c r="C190" s="53" t="s">
        <v>52</v>
      </c>
      <c r="D190" s="54" t="s">
        <v>152</v>
      </c>
      <c r="E190" s="55" t="s">
        <v>140</v>
      </c>
      <c r="F190" s="56" t="s">
        <v>153</v>
      </c>
      <c r="G190" s="57">
        <v>1</v>
      </c>
      <c r="H190" s="87" t="s">
        <v>65</v>
      </c>
      <c r="I190" s="88" t="s">
        <v>66</v>
      </c>
      <c r="J190" s="59">
        <v>3</v>
      </c>
      <c r="K190" s="60">
        <v>0</v>
      </c>
      <c r="L190" s="61">
        <f>1450</f>
        <v>1450</v>
      </c>
      <c r="M190" s="61">
        <v>0</v>
      </c>
      <c r="N190" s="60">
        <f t="shared" si="68"/>
        <v>1450</v>
      </c>
      <c r="O190" s="61">
        <f>1450</f>
        <v>1450</v>
      </c>
      <c r="P190" s="61">
        <v>0</v>
      </c>
      <c r="Q190" s="61">
        <v>0</v>
      </c>
      <c r="R190" s="60">
        <f t="shared" si="69"/>
        <v>0</v>
      </c>
      <c r="S190" s="61">
        <v>0</v>
      </c>
      <c r="T190" s="62">
        <v>0</v>
      </c>
      <c r="U190" s="61">
        <v>0</v>
      </c>
      <c r="V190" s="62">
        <v>0</v>
      </c>
      <c r="W190" s="61">
        <v>0</v>
      </c>
      <c r="X190" s="63">
        <v>0</v>
      </c>
      <c r="Y190" s="64"/>
    </row>
    <row r="191" spans="1:25" s="42" customFormat="1" ht="9" customHeight="1" x14ac:dyDescent="0.2">
      <c r="A191" s="66"/>
      <c r="B191" s="67"/>
      <c r="C191" s="68"/>
      <c r="D191" s="69"/>
      <c r="E191" s="70"/>
      <c r="F191" s="71"/>
      <c r="G191" s="72"/>
      <c r="H191" s="68"/>
      <c r="I191" s="73"/>
      <c r="J191" s="74"/>
      <c r="K191" s="75"/>
      <c r="L191" s="76"/>
      <c r="M191" s="76"/>
      <c r="N191" s="75"/>
      <c r="O191" s="76"/>
      <c r="P191" s="76"/>
      <c r="Q191" s="76"/>
      <c r="R191" s="75"/>
      <c r="S191" s="76"/>
      <c r="T191" s="77"/>
      <c r="U191" s="76"/>
      <c r="V191" s="77"/>
      <c r="W191" s="76"/>
      <c r="X191" s="78"/>
    </row>
    <row r="192" spans="1:25" s="50" customFormat="1" ht="39" customHeight="1" x14ac:dyDescent="0.2">
      <c r="A192" s="100" t="s">
        <v>110</v>
      </c>
      <c r="B192" s="195" t="s">
        <v>111</v>
      </c>
      <c r="C192" s="196"/>
      <c r="D192" s="80" t="s">
        <v>154</v>
      </c>
      <c r="E192" s="81" t="s">
        <v>140</v>
      </c>
      <c r="F192" s="195" t="s">
        <v>155</v>
      </c>
      <c r="G192" s="197"/>
      <c r="H192" s="197"/>
      <c r="I192" s="197"/>
      <c r="J192" s="196"/>
      <c r="K192" s="82">
        <f>SUM(K193:K196)</f>
        <v>10890000</v>
      </c>
      <c r="L192" s="82">
        <f t="shared" ref="L192:S192" si="74">SUM(L193:L196)</f>
        <v>724920</v>
      </c>
      <c r="M192" s="82">
        <f t="shared" si="74"/>
        <v>1300000</v>
      </c>
      <c r="N192" s="82">
        <f t="shared" si="74"/>
        <v>10314920</v>
      </c>
      <c r="O192" s="82">
        <f t="shared" si="74"/>
        <v>0</v>
      </c>
      <c r="P192" s="82">
        <f t="shared" si="74"/>
        <v>0</v>
      </c>
      <c r="Q192" s="82">
        <f t="shared" si="74"/>
        <v>-1146418.6599999999</v>
      </c>
      <c r="R192" s="82">
        <f t="shared" si="74"/>
        <v>9168501.3399999999</v>
      </c>
      <c r="S192" s="82">
        <f t="shared" si="74"/>
        <v>7604951.1000000006</v>
      </c>
      <c r="T192" s="83">
        <f>S192/R192</f>
        <v>0.82946501483523816</v>
      </c>
      <c r="U192" s="82">
        <f>SUM(U193:U196)</f>
        <v>6942669.1399999997</v>
      </c>
      <c r="V192" s="83">
        <f>U192/R192</f>
        <v>0.75723053120042405</v>
      </c>
      <c r="W192" s="82">
        <f>SUM(W193:W196)</f>
        <v>6864855.629999998</v>
      </c>
      <c r="X192" s="84">
        <f>W192/R192</f>
        <v>0.74874348330520046</v>
      </c>
      <c r="Y192" s="49"/>
    </row>
    <row r="193" spans="1:25" s="65" customFormat="1" ht="39" customHeight="1" x14ac:dyDescent="0.2">
      <c r="A193" s="92" t="s">
        <v>110</v>
      </c>
      <c r="B193" s="52" t="s">
        <v>111</v>
      </c>
      <c r="C193" s="53" t="s">
        <v>52</v>
      </c>
      <c r="D193" s="54" t="s">
        <v>154</v>
      </c>
      <c r="E193" s="55" t="s">
        <v>140</v>
      </c>
      <c r="F193" s="56" t="s">
        <v>155</v>
      </c>
      <c r="G193" s="57">
        <v>1</v>
      </c>
      <c r="H193" s="53" t="s">
        <v>53</v>
      </c>
      <c r="I193" s="58" t="s">
        <v>54</v>
      </c>
      <c r="J193" s="59">
        <v>4</v>
      </c>
      <c r="K193" s="60">
        <v>50000</v>
      </c>
      <c r="L193" s="61">
        <v>0</v>
      </c>
      <c r="M193" s="61">
        <v>0</v>
      </c>
      <c r="N193" s="60">
        <f t="shared" si="68"/>
        <v>50000</v>
      </c>
      <c r="O193" s="61">
        <v>0</v>
      </c>
      <c r="P193" s="61">
        <v>0</v>
      </c>
      <c r="Q193" s="61">
        <v>0</v>
      </c>
      <c r="R193" s="60">
        <f t="shared" si="69"/>
        <v>50000</v>
      </c>
      <c r="S193" s="61">
        <f>7870.76+17885+22390.56</f>
        <v>48146.320000000007</v>
      </c>
      <c r="T193" s="62">
        <f>S193/R193</f>
        <v>0.96292640000000018</v>
      </c>
      <c r="U193" s="61">
        <f>7870.76+17885</f>
        <v>25755.760000000002</v>
      </c>
      <c r="V193" s="62">
        <f t="shared" si="73"/>
        <v>0.5151152</v>
      </c>
      <c r="W193" s="61">
        <f>7870.76+17885</f>
        <v>25755.760000000002</v>
      </c>
      <c r="X193" s="63">
        <f t="shared" si="71"/>
        <v>0.5151152</v>
      </c>
      <c r="Y193" s="64"/>
    </row>
    <row r="194" spans="1:25" s="65" customFormat="1" ht="39" customHeight="1" x14ac:dyDescent="0.2">
      <c r="A194" s="92" t="s">
        <v>110</v>
      </c>
      <c r="B194" s="52" t="s">
        <v>111</v>
      </c>
      <c r="C194" s="53" t="s">
        <v>52</v>
      </c>
      <c r="D194" s="54" t="s">
        <v>154</v>
      </c>
      <c r="E194" s="55" t="s">
        <v>140</v>
      </c>
      <c r="F194" s="56" t="s">
        <v>155</v>
      </c>
      <c r="G194" s="57">
        <v>1</v>
      </c>
      <c r="H194" s="53" t="s">
        <v>116</v>
      </c>
      <c r="I194" s="58" t="s">
        <v>117</v>
      </c>
      <c r="J194" s="59">
        <v>3</v>
      </c>
      <c r="K194" s="60">
        <f>500000+10000+8935000+1395000</f>
        <v>10840000</v>
      </c>
      <c r="L194" s="61">
        <v>0</v>
      </c>
      <c r="M194" s="61">
        <f>1300000</f>
        <v>1300000</v>
      </c>
      <c r="N194" s="60">
        <f t="shared" si="68"/>
        <v>9540000</v>
      </c>
      <c r="O194" s="61">
        <v>0</v>
      </c>
      <c r="P194" s="61">
        <v>0</v>
      </c>
      <c r="Q194" s="61">
        <f>-98907-60840-60840-62723.62-62456.59-62456.59-80589.93-65942.1-66742.83</f>
        <v>-621498.65999999992</v>
      </c>
      <c r="R194" s="60">
        <f t="shared" si="69"/>
        <v>8918501.3399999999</v>
      </c>
      <c r="S194" s="61">
        <f>858054.85+206534.15+513120.2+889386.25+737949.6+655768.75+589836.2+482142.88+646042.44+1039249.62+740298.96</f>
        <v>7358383.9000000004</v>
      </c>
      <c r="T194" s="62">
        <f>S194/R194</f>
        <v>0.8250695514275721</v>
      </c>
      <c r="U194" s="61">
        <f>50589.65+516939.18+554277.11+1162707.25+430530.44+483870.4+1150888.07+469197.78+245825.75+1012608.54+641058.33</f>
        <v>6718492.5</v>
      </c>
      <c r="V194" s="62">
        <f t="shared" si="73"/>
        <v>0.75332079279588915</v>
      </c>
      <c r="W194" s="61">
        <f>50589.65+424113.21+647103.08+880236.9+566043.29+630827.9+1082589.58+537496.27+186442.56+753805.48+881431.07</f>
        <v>6640678.9899999984</v>
      </c>
      <c r="X194" s="63">
        <f t="shared" si="71"/>
        <v>0.74459583923771644</v>
      </c>
      <c r="Y194" s="64"/>
    </row>
    <row r="195" spans="1:25" s="65" customFormat="1" ht="39" customHeight="1" x14ac:dyDescent="0.2">
      <c r="A195" s="92" t="s">
        <v>110</v>
      </c>
      <c r="B195" s="52" t="s">
        <v>111</v>
      </c>
      <c r="C195" s="53" t="s">
        <v>52</v>
      </c>
      <c r="D195" s="54" t="s">
        <v>154</v>
      </c>
      <c r="E195" s="55" t="s">
        <v>140</v>
      </c>
      <c r="F195" s="56" t="s">
        <v>155</v>
      </c>
      <c r="G195" s="57">
        <v>1</v>
      </c>
      <c r="H195" s="87" t="s">
        <v>65</v>
      </c>
      <c r="I195" s="88" t="s">
        <v>66</v>
      </c>
      <c r="J195" s="59">
        <v>3</v>
      </c>
      <c r="K195" s="60">
        <v>0</v>
      </c>
      <c r="L195" s="61">
        <f>128650+200000</f>
        <v>328650</v>
      </c>
      <c r="M195" s="61">
        <v>0</v>
      </c>
      <c r="N195" s="60">
        <f t="shared" si="68"/>
        <v>328650</v>
      </c>
      <c r="O195" s="61">
        <f>128650-37284-91366</f>
        <v>0</v>
      </c>
      <c r="P195" s="61">
        <v>0</v>
      </c>
      <c r="Q195" s="61">
        <f>-37284-91366</f>
        <v>-128650</v>
      </c>
      <c r="R195" s="60">
        <f t="shared" si="69"/>
        <v>200000</v>
      </c>
      <c r="S195" s="61">
        <f>26578.7+80673.41+81536.43+11059.29-1426.95</f>
        <v>198420.87999999998</v>
      </c>
      <c r="T195" s="62">
        <f>S195/R195</f>
        <v>0.99210439999999989</v>
      </c>
      <c r="U195" s="61">
        <f>26578.7+80540.3+81669.54+11059.29-1426.95</f>
        <v>198420.87999999998</v>
      </c>
      <c r="V195" s="62">
        <f t="shared" si="73"/>
        <v>0.99210439999999989</v>
      </c>
      <c r="W195" s="61">
        <f>26578.7+80540.3+76779.03+15949.8-1426.95</f>
        <v>198420.87999999998</v>
      </c>
      <c r="X195" s="63">
        <f t="shared" si="71"/>
        <v>0.99210439999999989</v>
      </c>
      <c r="Y195" s="64"/>
    </row>
    <row r="196" spans="1:25" s="65" customFormat="1" ht="39" customHeight="1" x14ac:dyDescent="0.2">
      <c r="A196" s="92" t="s">
        <v>110</v>
      </c>
      <c r="B196" s="52" t="s">
        <v>111</v>
      </c>
      <c r="C196" s="53" t="s">
        <v>52</v>
      </c>
      <c r="D196" s="54" t="s">
        <v>154</v>
      </c>
      <c r="E196" s="55" t="s">
        <v>140</v>
      </c>
      <c r="F196" s="56" t="s">
        <v>155</v>
      </c>
      <c r="G196" s="57">
        <v>1</v>
      </c>
      <c r="H196" s="87" t="s">
        <v>65</v>
      </c>
      <c r="I196" s="88" t="s">
        <v>66</v>
      </c>
      <c r="J196" s="59">
        <v>4</v>
      </c>
      <c r="K196" s="60">
        <v>0</v>
      </c>
      <c r="L196" s="61">
        <f>396270</f>
        <v>396270</v>
      </c>
      <c r="M196" s="61">
        <v>0</v>
      </c>
      <c r="N196" s="60">
        <f t="shared" si="68"/>
        <v>396270</v>
      </c>
      <c r="O196" s="61">
        <f>396270-396270</f>
        <v>0</v>
      </c>
      <c r="P196" s="61">
        <v>0</v>
      </c>
      <c r="Q196" s="61">
        <f>-396270</f>
        <v>-396270</v>
      </c>
      <c r="R196" s="60">
        <f t="shared" si="69"/>
        <v>0</v>
      </c>
      <c r="S196" s="61">
        <v>0</v>
      </c>
      <c r="T196" s="62">
        <v>0</v>
      </c>
      <c r="U196" s="61">
        <v>0</v>
      </c>
      <c r="V196" s="62">
        <v>0</v>
      </c>
      <c r="W196" s="61">
        <v>0</v>
      </c>
      <c r="X196" s="63">
        <v>0</v>
      </c>
      <c r="Y196" s="64"/>
    </row>
    <row r="197" spans="1:25" s="42" customFormat="1" ht="9" customHeight="1" x14ac:dyDescent="0.2">
      <c r="A197" s="66"/>
      <c r="B197" s="67"/>
      <c r="C197" s="68"/>
      <c r="D197" s="69"/>
      <c r="E197" s="70"/>
      <c r="F197" s="71"/>
      <c r="G197" s="72"/>
      <c r="H197" s="68"/>
      <c r="I197" s="73"/>
      <c r="J197" s="74"/>
      <c r="K197" s="75"/>
      <c r="L197" s="76"/>
      <c r="M197" s="76"/>
      <c r="N197" s="75"/>
      <c r="O197" s="76"/>
      <c r="P197" s="76"/>
      <c r="Q197" s="76"/>
      <c r="R197" s="75"/>
      <c r="S197" s="76"/>
      <c r="T197" s="77"/>
      <c r="U197" s="76"/>
      <c r="V197" s="77"/>
      <c r="W197" s="76"/>
      <c r="X197" s="78"/>
    </row>
    <row r="198" spans="1:25" s="50" customFormat="1" ht="39" customHeight="1" x14ac:dyDescent="0.2">
      <c r="A198" s="100" t="s">
        <v>110</v>
      </c>
      <c r="B198" s="195" t="s">
        <v>111</v>
      </c>
      <c r="C198" s="196"/>
      <c r="D198" s="80" t="s">
        <v>156</v>
      </c>
      <c r="E198" s="81" t="s">
        <v>140</v>
      </c>
      <c r="F198" s="195" t="s">
        <v>157</v>
      </c>
      <c r="G198" s="197"/>
      <c r="H198" s="197"/>
      <c r="I198" s="197"/>
      <c r="J198" s="196"/>
      <c r="K198" s="82">
        <f>SUM(K199:K200)</f>
        <v>80000</v>
      </c>
      <c r="L198" s="82">
        <f t="shared" ref="L198:S198" si="75">SUM(L199:L200)</f>
        <v>0</v>
      </c>
      <c r="M198" s="82">
        <f t="shared" si="75"/>
        <v>0</v>
      </c>
      <c r="N198" s="82">
        <f t="shared" si="75"/>
        <v>80000</v>
      </c>
      <c r="O198" s="82">
        <f t="shared" si="75"/>
        <v>0</v>
      </c>
      <c r="P198" s="82">
        <f t="shared" si="75"/>
        <v>0</v>
      </c>
      <c r="Q198" s="82">
        <f t="shared" si="75"/>
        <v>0</v>
      </c>
      <c r="R198" s="82">
        <f t="shared" si="75"/>
        <v>80000</v>
      </c>
      <c r="S198" s="82">
        <f t="shared" si="75"/>
        <v>16085.8</v>
      </c>
      <c r="T198" s="83">
        <f>S198/R198</f>
        <v>0.20107249999999999</v>
      </c>
      <c r="U198" s="82">
        <f>SUM(U199:U200)</f>
        <v>9685.84</v>
      </c>
      <c r="V198" s="83">
        <f>U198/R198</f>
        <v>0.121073</v>
      </c>
      <c r="W198" s="82">
        <f>SUM(W199:W200)</f>
        <v>9685.84</v>
      </c>
      <c r="X198" s="84">
        <f>W198/R198</f>
        <v>0.121073</v>
      </c>
      <c r="Y198" s="49"/>
    </row>
    <row r="199" spans="1:25" s="65" customFormat="1" ht="39" customHeight="1" x14ac:dyDescent="0.2">
      <c r="A199" s="92" t="s">
        <v>110</v>
      </c>
      <c r="B199" s="52" t="s">
        <v>111</v>
      </c>
      <c r="C199" s="53" t="s">
        <v>52</v>
      </c>
      <c r="D199" s="54" t="s">
        <v>156</v>
      </c>
      <c r="E199" s="55" t="s">
        <v>140</v>
      </c>
      <c r="F199" s="56" t="s">
        <v>157</v>
      </c>
      <c r="G199" s="57">
        <v>1</v>
      </c>
      <c r="H199" s="53" t="s">
        <v>53</v>
      </c>
      <c r="I199" s="58" t="s">
        <v>54</v>
      </c>
      <c r="J199" s="59">
        <v>4</v>
      </c>
      <c r="K199" s="60">
        <v>10000</v>
      </c>
      <c r="L199" s="61">
        <v>0</v>
      </c>
      <c r="M199" s="61">
        <v>0</v>
      </c>
      <c r="N199" s="60">
        <f t="shared" si="68"/>
        <v>10000</v>
      </c>
      <c r="O199" s="61">
        <v>0</v>
      </c>
      <c r="P199" s="61">
        <v>0</v>
      </c>
      <c r="Q199" s="61">
        <v>0</v>
      </c>
      <c r="R199" s="60">
        <f t="shared" si="69"/>
        <v>10000</v>
      </c>
      <c r="S199" s="61">
        <f>1536.45+6399.96</f>
        <v>7936.41</v>
      </c>
      <c r="T199" s="62">
        <f>S199/R199</f>
        <v>0.79364100000000004</v>
      </c>
      <c r="U199" s="61">
        <f>1536.45</f>
        <v>1536.45</v>
      </c>
      <c r="V199" s="62">
        <f t="shared" si="73"/>
        <v>0.153645</v>
      </c>
      <c r="W199" s="61">
        <f>1536.45</f>
        <v>1536.45</v>
      </c>
      <c r="X199" s="63">
        <f t="shared" si="71"/>
        <v>0.153645</v>
      </c>
      <c r="Y199" s="64"/>
    </row>
    <row r="200" spans="1:25" s="65" customFormat="1" ht="39" customHeight="1" x14ac:dyDescent="0.2">
      <c r="A200" s="92" t="s">
        <v>110</v>
      </c>
      <c r="B200" s="52" t="s">
        <v>111</v>
      </c>
      <c r="C200" s="53" t="s">
        <v>52</v>
      </c>
      <c r="D200" s="54" t="s">
        <v>156</v>
      </c>
      <c r="E200" s="55" t="s">
        <v>140</v>
      </c>
      <c r="F200" s="56" t="s">
        <v>157</v>
      </c>
      <c r="G200" s="57">
        <v>1</v>
      </c>
      <c r="H200" s="53" t="s">
        <v>116</v>
      </c>
      <c r="I200" s="58" t="s">
        <v>117</v>
      </c>
      <c r="J200" s="59">
        <v>3</v>
      </c>
      <c r="K200" s="60">
        <f>20000+50000</f>
        <v>70000</v>
      </c>
      <c r="L200" s="61">
        <v>0</v>
      </c>
      <c r="M200" s="61">
        <v>0</v>
      </c>
      <c r="N200" s="60">
        <f t="shared" si="68"/>
        <v>70000</v>
      </c>
      <c r="O200" s="61">
        <v>0</v>
      </c>
      <c r="P200" s="61">
        <v>0</v>
      </c>
      <c r="Q200" s="61">
        <v>0</v>
      </c>
      <c r="R200" s="60">
        <f t="shared" si="69"/>
        <v>70000</v>
      </c>
      <c r="S200" s="61">
        <f>3296.7+613.89+4238.8</f>
        <v>8149.3899999999994</v>
      </c>
      <c r="T200" s="62">
        <f>S200/R200</f>
        <v>0.11641985714285713</v>
      </c>
      <c r="U200" s="61">
        <f>3296.7+613.89+4238.8</f>
        <v>8149.3899999999994</v>
      </c>
      <c r="V200" s="62">
        <f t="shared" si="73"/>
        <v>0.11641985714285713</v>
      </c>
      <c r="W200" s="61">
        <f>3296.7+613.89+4238.8</f>
        <v>8149.3899999999994</v>
      </c>
      <c r="X200" s="63">
        <f t="shared" si="71"/>
        <v>0.11641985714285713</v>
      </c>
      <c r="Y200" s="64"/>
    </row>
    <row r="201" spans="1:25" s="42" customFormat="1" ht="9" customHeight="1" x14ac:dyDescent="0.2">
      <c r="A201" s="66"/>
      <c r="B201" s="67"/>
      <c r="C201" s="68"/>
      <c r="D201" s="69"/>
      <c r="E201" s="70"/>
      <c r="F201" s="71"/>
      <c r="G201" s="72"/>
      <c r="H201" s="68"/>
      <c r="I201" s="73"/>
      <c r="J201" s="74"/>
      <c r="K201" s="75"/>
      <c r="L201" s="76"/>
      <c r="M201" s="76"/>
      <c r="N201" s="75"/>
      <c r="O201" s="76"/>
      <c r="P201" s="76"/>
      <c r="Q201" s="76"/>
      <c r="R201" s="75"/>
      <c r="S201" s="76"/>
      <c r="T201" s="77"/>
      <c r="U201" s="76"/>
      <c r="V201" s="77"/>
      <c r="W201" s="76"/>
      <c r="X201" s="78"/>
    </row>
    <row r="202" spans="1:25" s="50" customFormat="1" ht="39" customHeight="1" x14ac:dyDescent="0.2">
      <c r="A202" s="100" t="s">
        <v>110</v>
      </c>
      <c r="B202" s="195" t="s">
        <v>111</v>
      </c>
      <c r="C202" s="196"/>
      <c r="D202" s="80" t="s">
        <v>158</v>
      </c>
      <c r="E202" s="81" t="s">
        <v>140</v>
      </c>
      <c r="F202" s="195" t="s">
        <v>159</v>
      </c>
      <c r="G202" s="197"/>
      <c r="H202" s="197"/>
      <c r="I202" s="197"/>
      <c r="J202" s="196"/>
      <c r="K202" s="82">
        <f>SUM(K203:K206)</f>
        <v>1593500</v>
      </c>
      <c r="L202" s="82">
        <f t="shared" ref="L202:S202" si="76">SUM(L203:L206)</f>
        <v>237099</v>
      </c>
      <c r="M202" s="82">
        <f t="shared" si="76"/>
        <v>600000</v>
      </c>
      <c r="N202" s="82">
        <f t="shared" si="76"/>
        <v>1230599</v>
      </c>
      <c r="O202" s="82">
        <f t="shared" si="76"/>
        <v>0.40000000000145519</v>
      </c>
      <c r="P202" s="82">
        <f t="shared" si="76"/>
        <v>0</v>
      </c>
      <c r="Q202" s="82">
        <f t="shared" si="76"/>
        <v>-565713.69999999995</v>
      </c>
      <c r="R202" s="82">
        <f t="shared" si="76"/>
        <v>664884.9</v>
      </c>
      <c r="S202" s="82">
        <f t="shared" si="76"/>
        <v>462662.32999999996</v>
      </c>
      <c r="T202" s="83">
        <f>S202/R202</f>
        <v>0.69585326723467467</v>
      </c>
      <c r="U202" s="82">
        <f>SUM(U203:U206)</f>
        <v>429318.56999999995</v>
      </c>
      <c r="V202" s="83">
        <f>U202/R202</f>
        <v>0.64570359471240801</v>
      </c>
      <c r="W202" s="82">
        <f>SUM(W203:W206)</f>
        <v>429318.57</v>
      </c>
      <c r="X202" s="84">
        <f>W202/R202</f>
        <v>0.64570359471240812</v>
      </c>
      <c r="Y202" s="49"/>
    </row>
    <row r="203" spans="1:25" s="65" customFormat="1" ht="39" customHeight="1" x14ac:dyDescent="0.2">
      <c r="A203" s="92" t="s">
        <v>110</v>
      </c>
      <c r="B203" s="52" t="s">
        <v>111</v>
      </c>
      <c r="C203" s="53" t="s">
        <v>52</v>
      </c>
      <c r="D203" s="54" t="s">
        <v>158</v>
      </c>
      <c r="E203" s="55" t="s">
        <v>140</v>
      </c>
      <c r="F203" s="56" t="s">
        <v>159</v>
      </c>
      <c r="G203" s="57">
        <v>1</v>
      </c>
      <c r="H203" s="53" t="s">
        <v>53</v>
      </c>
      <c r="I203" s="58" t="s">
        <v>54</v>
      </c>
      <c r="J203" s="59">
        <v>4</v>
      </c>
      <c r="K203" s="60">
        <v>10000</v>
      </c>
      <c r="L203" s="61">
        <v>0</v>
      </c>
      <c r="M203" s="61">
        <v>0</v>
      </c>
      <c r="N203" s="60">
        <f t="shared" si="68"/>
        <v>10000</v>
      </c>
      <c r="O203" s="61">
        <v>0</v>
      </c>
      <c r="P203" s="61">
        <v>0</v>
      </c>
      <c r="Q203" s="61">
        <v>0</v>
      </c>
      <c r="R203" s="60">
        <f t="shared" si="69"/>
        <v>10000</v>
      </c>
      <c r="S203" s="61">
        <f>2206.63+6850</f>
        <v>9056.630000000001</v>
      </c>
      <c r="T203" s="62">
        <f>S203/R203</f>
        <v>0.90566300000000011</v>
      </c>
      <c r="U203" s="61">
        <f>2206.63</f>
        <v>2206.63</v>
      </c>
      <c r="V203" s="62">
        <f t="shared" si="73"/>
        <v>0.220663</v>
      </c>
      <c r="W203" s="61">
        <f>2206.63</f>
        <v>2206.63</v>
      </c>
      <c r="X203" s="63">
        <f t="shared" si="71"/>
        <v>0.220663</v>
      </c>
      <c r="Y203" s="64"/>
    </row>
    <row r="204" spans="1:25" s="65" customFormat="1" ht="39" customHeight="1" x14ac:dyDescent="0.2">
      <c r="A204" s="92" t="s">
        <v>110</v>
      </c>
      <c r="B204" s="52" t="s">
        <v>111</v>
      </c>
      <c r="C204" s="53" t="s">
        <v>52</v>
      </c>
      <c r="D204" s="54" t="s">
        <v>158</v>
      </c>
      <c r="E204" s="55" t="s">
        <v>140</v>
      </c>
      <c r="F204" s="56" t="s">
        <v>159</v>
      </c>
      <c r="G204" s="57">
        <v>1</v>
      </c>
      <c r="H204" s="53" t="s">
        <v>116</v>
      </c>
      <c r="I204" s="58" t="s">
        <v>117</v>
      </c>
      <c r="J204" s="59">
        <v>3</v>
      </c>
      <c r="K204" s="60">
        <f>20000+1550000+13500</f>
        <v>1583500</v>
      </c>
      <c r="L204" s="61">
        <v>0</v>
      </c>
      <c r="M204" s="61">
        <f>600000</f>
        <v>600000</v>
      </c>
      <c r="N204" s="60">
        <f t="shared" si="68"/>
        <v>983500</v>
      </c>
      <c r="O204" s="61">
        <v>0</v>
      </c>
      <c r="P204" s="61">
        <v>0</v>
      </c>
      <c r="Q204" s="61">
        <f>-53257.93-32760-32760-33960.18-33630.47-33630.47-35938.44-36739.17-35938.44</f>
        <v>-328615.09999999998</v>
      </c>
      <c r="R204" s="60">
        <f t="shared" si="69"/>
        <v>654884.9</v>
      </c>
      <c r="S204" s="61">
        <f>254620+1702.97+87590+43498.53+2338.1+4683.3+8507.8+25040+16695+8930</f>
        <v>453605.69999999995</v>
      </c>
      <c r="T204" s="62">
        <f>S204/R204</f>
        <v>0.69264950222550548</v>
      </c>
      <c r="U204" s="61">
        <f>1800+47666.27+186220.94+150167.13+2000+3338.1+1483.3+25040+466.2+8930</f>
        <v>427111.93999999994</v>
      </c>
      <c r="V204" s="62">
        <f t="shared" si="73"/>
        <v>0.65219390460827531</v>
      </c>
      <c r="W204" s="61">
        <f>1800+46953.47+186933.74+105228.48+46938.65+3338.1+1483.3+21840+3666.2+8930</f>
        <v>427111.94</v>
      </c>
      <c r="X204" s="63">
        <f t="shared" si="71"/>
        <v>0.65219390460827542</v>
      </c>
      <c r="Y204" s="64"/>
    </row>
    <row r="205" spans="1:25" s="65" customFormat="1" ht="39" customHeight="1" x14ac:dyDescent="0.2">
      <c r="A205" s="92" t="s">
        <v>110</v>
      </c>
      <c r="B205" s="52" t="s">
        <v>111</v>
      </c>
      <c r="C205" s="53" t="s">
        <v>52</v>
      </c>
      <c r="D205" s="54" t="s">
        <v>158</v>
      </c>
      <c r="E205" s="55" t="s">
        <v>140</v>
      </c>
      <c r="F205" s="56" t="s">
        <v>159</v>
      </c>
      <c r="G205" s="57">
        <v>1</v>
      </c>
      <c r="H205" s="87" t="s">
        <v>65</v>
      </c>
      <c r="I205" s="88" t="s">
        <v>66</v>
      </c>
      <c r="J205" s="59">
        <v>3</v>
      </c>
      <c r="K205" s="60">
        <v>0</v>
      </c>
      <c r="L205" s="61">
        <f>57069</f>
        <v>57069</v>
      </c>
      <c r="M205" s="61">
        <v>0</v>
      </c>
      <c r="N205" s="60">
        <f t="shared" si="68"/>
        <v>57069</v>
      </c>
      <c r="O205" s="61">
        <f>57069-20076-36992.6</f>
        <v>0.40000000000145519</v>
      </c>
      <c r="P205" s="61">
        <v>0</v>
      </c>
      <c r="Q205" s="61">
        <f>-20076-36992.6</f>
        <v>-57068.6</v>
      </c>
      <c r="R205" s="60">
        <f t="shared" si="69"/>
        <v>0</v>
      </c>
      <c r="S205" s="61">
        <v>0</v>
      </c>
      <c r="T205" s="62">
        <v>0</v>
      </c>
      <c r="U205" s="61">
        <v>0</v>
      </c>
      <c r="V205" s="62">
        <v>0</v>
      </c>
      <c r="W205" s="61">
        <v>0</v>
      </c>
      <c r="X205" s="63">
        <v>0</v>
      </c>
      <c r="Y205" s="64"/>
    </row>
    <row r="206" spans="1:25" s="65" customFormat="1" ht="39" customHeight="1" x14ac:dyDescent="0.2">
      <c r="A206" s="92" t="s">
        <v>110</v>
      </c>
      <c r="B206" s="52" t="s">
        <v>111</v>
      </c>
      <c r="C206" s="53" t="s">
        <v>52</v>
      </c>
      <c r="D206" s="54" t="s">
        <v>158</v>
      </c>
      <c r="E206" s="55" t="s">
        <v>140</v>
      </c>
      <c r="F206" s="56" t="s">
        <v>159</v>
      </c>
      <c r="G206" s="57">
        <v>1</v>
      </c>
      <c r="H206" s="87" t="s">
        <v>65</v>
      </c>
      <c r="I206" s="88" t="s">
        <v>66</v>
      </c>
      <c r="J206" s="59">
        <v>4</v>
      </c>
      <c r="K206" s="60">
        <v>0</v>
      </c>
      <c r="L206" s="61">
        <f>180030</f>
        <v>180030</v>
      </c>
      <c r="M206" s="61">
        <v>0</v>
      </c>
      <c r="N206" s="60">
        <f t="shared" si="68"/>
        <v>180030</v>
      </c>
      <c r="O206" s="61">
        <f>180030-180030</f>
        <v>0</v>
      </c>
      <c r="P206" s="61">
        <v>0</v>
      </c>
      <c r="Q206" s="61">
        <f>-180030</f>
        <v>-180030</v>
      </c>
      <c r="R206" s="60">
        <f t="shared" si="69"/>
        <v>0</v>
      </c>
      <c r="S206" s="61">
        <v>0</v>
      </c>
      <c r="T206" s="62">
        <v>0</v>
      </c>
      <c r="U206" s="61">
        <v>0</v>
      </c>
      <c r="V206" s="62">
        <v>0</v>
      </c>
      <c r="W206" s="61">
        <v>0</v>
      </c>
      <c r="X206" s="63">
        <v>0</v>
      </c>
      <c r="Y206" s="64"/>
    </row>
    <row r="207" spans="1:25" s="42" customFormat="1" ht="9" customHeight="1" x14ac:dyDescent="0.2">
      <c r="A207" s="66"/>
      <c r="B207" s="67"/>
      <c r="C207" s="68"/>
      <c r="D207" s="69"/>
      <c r="E207" s="70"/>
      <c r="F207" s="71"/>
      <c r="G207" s="72"/>
      <c r="H207" s="68"/>
      <c r="I207" s="73"/>
      <c r="J207" s="74"/>
      <c r="K207" s="75"/>
      <c r="L207" s="76"/>
      <c r="M207" s="76"/>
      <c r="N207" s="75"/>
      <c r="O207" s="76"/>
      <c r="P207" s="76"/>
      <c r="Q207" s="76"/>
      <c r="R207" s="75"/>
      <c r="S207" s="76"/>
      <c r="T207" s="77"/>
      <c r="U207" s="76"/>
      <c r="V207" s="77"/>
      <c r="W207" s="76"/>
      <c r="X207" s="78"/>
    </row>
    <row r="208" spans="1:25" s="50" customFormat="1" ht="39" customHeight="1" x14ac:dyDescent="0.2">
      <c r="A208" s="100" t="s">
        <v>110</v>
      </c>
      <c r="B208" s="195" t="s">
        <v>111</v>
      </c>
      <c r="C208" s="196"/>
      <c r="D208" s="80" t="s">
        <v>160</v>
      </c>
      <c r="E208" s="81" t="s">
        <v>140</v>
      </c>
      <c r="F208" s="195" t="s">
        <v>161</v>
      </c>
      <c r="G208" s="197"/>
      <c r="H208" s="197"/>
      <c r="I208" s="197"/>
      <c r="J208" s="196"/>
      <c r="K208" s="82">
        <f>SUM(K209:K213)</f>
        <v>200000</v>
      </c>
      <c r="L208" s="82">
        <f t="shared" ref="L208:S208" si="77">SUM(L209:L213)</f>
        <v>1384761.6</v>
      </c>
      <c r="M208" s="82">
        <f t="shared" si="77"/>
        <v>0</v>
      </c>
      <c r="N208" s="82">
        <f t="shared" si="77"/>
        <v>1584761.6</v>
      </c>
      <c r="O208" s="82">
        <f t="shared" si="77"/>
        <v>91.95</v>
      </c>
      <c r="P208" s="82">
        <f t="shared" si="77"/>
        <v>0</v>
      </c>
      <c r="Q208" s="82">
        <f t="shared" si="77"/>
        <v>0</v>
      </c>
      <c r="R208" s="82">
        <f t="shared" si="77"/>
        <v>1584669.6500000001</v>
      </c>
      <c r="S208" s="82">
        <f t="shared" si="77"/>
        <v>1529478.47</v>
      </c>
      <c r="T208" s="83">
        <f t="shared" ref="T208:T213" si="78">S208/R208</f>
        <v>0.96517180725963914</v>
      </c>
      <c r="U208" s="82">
        <f>SUM(U209:U213)</f>
        <v>1109145.1600000001</v>
      </c>
      <c r="V208" s="83">
        <f>U208/R208</f>
        <v>0.69992200582626163</v>
      </c>
      <c r="W208" s="82">
        <f>SUM(W209:W213)</f>
        <v>1088422.79</v>
      </c>
      <c r="X208" s="84">
        <f>W208/R208</f>
        <v>0.68684522985595131</v>
      </c>
      <c r="Y208" s="49"/>
    </row>
    <row r="209" spans="1:25" s="65" customFormat="1" ht="39" customHeight="1" x14ac:dyDescent="0.2">
      <c r="A209" s="92" t="s">
        <v>110</v>
      </c>
      <c r="B209" s="52" t="s">
        <v>111</v>
      </c>
      <c r="C209" s="53" t="s">
        <v>52</v>
      </c>
      <c r="D209" s="54" t="s">
        <v>160</v>
      </c>
      <c r="E209" s="55" t="s">
        <v>140</v>
      </c>
      <c r="F209" s="56" t="s">
        <v>161</v>
      </c>
      <c r="G209" s="57">
        <v>1</v>
      </c>
      <c r="H209" s="53" t="s">
        <v>53</v>
      </c>
      <c r="I209" s="58" t="s">
        <v>54</v>
      </c>
      <c r="J209" s="59">
        <v>4</v>
      </c>
      <c r="K209" s="60">
        <v>200000</v>
      </c>
      <c r="L209" s="61">
        <v>0</v>
      </c>
      <c r="M209" s="61">
        <v>0</v>
      </c>
      <c r="N209" s="60">
        <f t="shared" si="68"/>
        <v>200000</v>
      </c>
      <c r="O209" s="61">
        <v>0</v>
      </c>
      <c r="P209" s="61">
        <v>0</v>
      </c>
      <c r="Q209" s="61">
        <v>0</v>
      </c>
      <c r="R209" s="60">
        <f t="shared" si="69"/>
        <v>200000</v>
      </c>
      <c r="S209" s="61">
        <f>3035.52+44026.95+92053.42+55391.29+2218+754.16+2229.1</f>
        <v>199708.44</v>
      </c>
      <c r="T209" s="62">
        <f t="shared" si="78"/>
        <v>0.99854220000000005</v>
      </c>
      <c r="U209" s="61">
        <f>3035.52+16764+8486.87+17963.73+97845.99+29566.14+467.45+1469.2</f>
        <v>175598.90000000002</v>
      </c>
      <c r="V209" s="62">
        <f t="shared" si="73"/>
        <v>0.87799450000000012</v>
      </c>
      <c r="W209" s="61">
        <f>3035.52+12328+12848+16568.61+99315.98+11121.3+18912.29+1034.2</f>
        <v>175163.9</v>
      </c>
      <c r="X209" s="63">
        <f t="shared" si="71"/>
        <v>0.87581949999999997</v>
      </c>
      <c r="Y209" s="64"/>
    </row>
    <row r="210" spans="1:25" s="65" customFormat="1" ht="39" customHeight="1" x14ac:dyDescent="0.2">
      <c r="A210" s="92" t="s">
        <v>110</v>
      </c>
      <c r="B210" s="52" t="s">
        <v>111</v>
      </c>
      <c r="C210" s="53" t="s">
        <v>52</v>
      </c>
      <c r="D210" s="54" t="s">
        <v>160</v>
      </c>
      <c r="E210" s="55" t="s">
        <v>140</v>
      </c>
      <c r="F210" s="56" t="s">
        <v>161</v>
      </c>
      <c r="G210" s="57">
        <v>1</v>
      </c>
      <c r="H210" s="53" t="s">
        <v>116</v>
      </c>
      <c r="I210" s="58" t="s">
        <v>117</v>
      </c>
      <c r="J210" s="59">
        <v>4</v>
      </c>
      <c r="K210" s="60">
        <v>0</v>
      </c>
      <c r="L210" s="61">
        <f>68807</f>
        <v>68807</v>
      </c>
      <c r="M210" s="61">
        <v>0</v>
      </c>
      <c r="N210" s="60">
        <f t="shared" si="68"/>
        <v>68807</v>
      </c>
      <c r="O210" s="61">
        <v>0</v>
      </c>
      <c r="P210" s="61">
        <v>0</v>
      </c>
      <c r="Q210" s="61">
        <v>0</v>
      </c>
      <c r="R210" s="60">
        <f t="shared" si="69"/>
        <v>68807</v>
      </c>
      <c r="S210" s="61">
        <f>68806.27</f>
        <v>68806.27</v>
      </c>
      <c r="T210" s="62">
        <f t="shared" si="78"/>
        <v>0.99998939061432712</v>
      </c>
      <c r="U210" s="61">
        <f>37669.74+23816.4+7320.13</f>
        <v>68806.27</v>
      </c>
      <c r="V210" s="62">
        <f t="shared" si="73"/>
        <v>0.99998939061432712</v>
      </c>
      <c r="W210" s="61">
        <f>61486.14+7320.13</f>
        <v>68806.27</v>
      </c>
      <c r="X210" s="63">
        <f t="shared" si="71"/>
        <v>0.99998939061432712</v>
      </c>
      <c r="Y210" s="64"/>
    </row>
    <row r="211" spans="1:25" s="65" customFormat="1" ht="39" customHeight="1" x14ac:dyDescent="0.2">
      <c r="A211" s="92" t="s">
        <v>110</v>
      </c>
      <c r="B211" s="52" t="s">
        <v>111</v>
      </c>
      <c r="C211" s="53" t="s">
        <v>52</v>
      </c>
      <c r="D211" s="54" t="s">
        <v>160</v>
      </c>
      <c r="E211" s="55" t="s">
        <v>140</v>
      </c>
      <c r="F211" s="56" t="s">
        <v>161</v>
      </c>
      <c r="G211" s="57">
        <v>1</v>
      </c>
      <c r="H211" s="87" t="s">
        <v>65</v>
      </c>
      <c r="I211" s="88" t="s">
        <v>66</v>
      </c>
      <c r="J211" s="59">
        <v>4</v>
      </c>
      <c r="K211" s="60">
        <v>0</v>
      </c>
      <c r="L211" s="61">
        <f>368548.6+350000</f>
        <v>718548.6</v>
      </c>
      <c r="M211" s="61">
        <v>0</v>
      </c>
      <c r="N211" s="60">
        <f t="shared" si="68"/>
        <v>718548.6</v>
      </c>
      <c r="O211" s="61">
        <v>0</v>
      </c>
      <c r="P211" s="61">
        <v>0</v>
      </c>
      <c r="Q211" s="61">
        <v>0</v>
      </c>
      <c r="R211" s="60">
        <f t="shared" si="69"/>
        <v>718548.6</v>
      </c>
      <c r="S211" s="61">
        <f>301366.5+57179.8+305173.97</f>
        <v>663720.27</v>
      </c>
      <c r="T211" s="62">
        <f t="shared" si="78"/>
        <v>0.9236957249655765</v>
      </c>
      <c r="U211" s="61">
        <f>44153+223343.5</f>
        <v>267496.5</v>
      </c>
      <c r="V211" s="62">
        <f t="shared" si="73"/>
        <v>0.37227335771025094</v>
      </c>
      <c r="W211" s="61">
        <f>247354.5</f>
        <v>247354.5</v>
      </c>
      <c r="X211" s="63">
        <f t="shared" si="71"/>
        <v>0.34424185086436743</v>
      </c>
      <c r="Y211" s="64"/>
    </row>
    <row r="212" spans="1:25" s="65" customFormat="1" ht="39" customHeight="1" x14ac:dyDescent="0.2">
      <c r="A212" s="92" t="s">
        <v>110</v>
      </c>
      <c r="B212" s="52" t="s">
        <v>111</v>
      </c>
      <c r="C212" s="53" t="s">
        <v>52</v>
      </c>
      <c r="D212" s="54" t="s">
        <v>160</v>
      </c>
      <c r="E212" s="55" t="s">
        <v>140</v>
      </c>
      <c r="F212" s="56" t="s">
        <v>161</v>
      </c>
      <c r="G212" s="57">
        <v>1</v>
      </c>
      <c r="H212" s="106" t="s">
        <v>118</v>
      </c>
      <c r="I212" s="99" t="s">
        <v>119</v>
      </c>
      <c r="J212" s="59">
        <v>4</v>
      </c>
      <c r="K212" s="60">
        <v>0</v>
      </c>
      <c r="L212" s="61">
        <f>400000</f>
        <v>400000</v>
      </c>
      <c r="M212" s="61">
        <v>0</v>
      </c>
      <c r="N212" s="60">
        <f t="shared" si="68"/>
        <v>400000</v>
      </c>
      <c r="O212" s="61">
        <v>0</v>
      </c>
      <c r="P212" s="61">
        <v>0</v>
      </c>
      <c r="Q212" s="61">
        <v>0</v>
      </c>
      <c r="R212" s="60">
        <f t="shared" si="69"/>
        <v>400000</v>
      </c>
      <c r="S212" s="61">
        <f>398570.84+1358.6</f>
        <v>399929.44</v>
      </c>
      <c r="T212" s="62">
        <f t="shared" si="78"/>
        <v>0.99982360000000003</v>
      </c>
      <c r="U212" s="61">
        <f>6829.2+307765.38+10460+40796.26+765.6+33313</f>
        <v>399929.44</v>
      </c>
      <c r="V212" s="62">
        <f t="shared" si="73"/>
        <v>0.99982360000000003</v>
      </c>
      <c r="W212" s="61">
        <f>6829.2+307765.38+10460+40796.26+33933.23</f>
        <v>399784.07</v>
      </c>
      <c r="X212" s="63">
        <f t="shared" si="71"/>
        <v>0.99946017500000006</v>
      </c>
      <c r="Y212" s="64"/>
    </row>
    <row r="213" spans="1:25" s="65" customFormat="1" ht="39" customHeight="1" x14ac:dyDescent="0.2">
      <c r="A213" s="92" t="s">
        <v>110</v>
      </c>
      <c r="B213" s="52" t="s">
        <v>111</v>
      </c>
      <c r="C213" s="53" t="s">
        <v>52</v>
      </c>
      <c r="D213" s="54" t="s">
        <v>160</v>
      </c>
      <c r="E213" s="55" t="s">
        <v>140</v>
      </c>
      <c r="F213" s="56" t="s">
        <v>161</v>
      </c>
      <c r="G213" s="57">
        <v>1</v>
      </c>
      <c r="H213" s="106" t="s">
        <v>162</v>
      </c>
      <c r="I213" s="99" t="s">
        <v>163</v>
      </c>
      <c r="J213" s="59">
        <v>4</v>
      </c>
      <c r="K213" s="60">
        <v>0</v>
      </c>
      <c r="L213" s="61">
        <f>197406</f>
        <v>197406</v>
      </c>
      <c r="M213" s="61">
        <v>0</v>
      </c>
      <c r="N213" s="60">
        <f t="shared" si="68"/>
        <v>197406</v>
      </c>
      <c r="O213" s="61">
        <f>91.95</f>
        <v>91.95</v>
      </c>
      <c r="P213" s="61">
        <v>0</v>
      </c>
      <c r="Q213" s="61">
        <v>0</v>
      </c>
      <c r="R213" s="60">
        <f t="shared" si="69"/>
        <v>197314.05</v>
      </c>
      <c r="S213" s="61">
        <f>197314.05</f>
        <v>197314.05</v>
      </c>
      <c r="T213" s="62">
        <f t="shared" si="78"/>
        <v>1</v>
      </c>
      <c r="U213" s="61">
        <f>22203+90426.18+40849+43835.87</f>
        <v>197314.05</v>
      </c>
      <c r="V213" s="62">
        <f t="shared" si="73"/>
        <v>1</v>
      </c>
      <c r="W213" s="61">
        <f>81723.18+59671+12084+43835.87</f>
        <v>197314.05</v>
      </c>
      <c r="X213" s="63">
        <f t="shared" si="71"/>
        <v>1</v>
      </c>
      <c r="Y213" s="64"/>
    </row>
    <row r="214" spans="1:25" s="42" customFormat="1" ht="9" customHeight="1" x14ac:dyDescent="0.2">
      <c r="A214" s="66"/>
      <c r="B214" s="67"/>
      <c r="C214" s="68"/>
      <c r="D214" s="69"/>
      <c r="E214" s="70"/>
      <c r="F214" s="71"/>
      <c r="G214" s="72"/>
      <c r="H214" s="68"/>
      <c r="I214" s="73"/>
      <c r="J214" s="74"/>
      <c r="K214" s="75"/>
      <c r="L214" s="76"/>
      <c r="M214" s="76"/>
      <c r="N214" s="75"/>
      <c r="O214" s="76"/>
      <c r="P214" s="76"/>
      <c r="Q214" s="76"/>
      <c r="R214" s="75"/>
      <c r="S214" s="76"/>
      <c r="T214" s="77"/>
      <c r="U214" s="76"/>
      <c r="V214" s="77"/>
      <c r="W214" s="76"/>
      <c r="X214" s="78"/>
    </row>
    <row r="215" spans="1:25" s="50" customFormat="1" ht="39" customHeight="1" x14ac:dyDescent="0.2">
      <c r="A215" s="100" t="s">
        <v>110</v>
      </c>
      <c r="B215" s="195" t="s">
        <v>111</v>
      </c>
      <c r="C215" s="196"/>
      <c r="D215" s="80" t="s">
        <v>164</v>
      </c>
      <c r="E215" s="81" t="s">
        <v>140</v>
      </c>
      <c r="F215" s="195" t="s">
        <v>165</v>
      </c>
      <c r="G215" s="197"/>
      <c r="H215" s="197"/>
      <c r="I215" s="197"/>
      <c r="J215" s="196"/>
      <c r="K215" s="82">
        <f>SUM(K216:K220)</f>
        <v>20000</v>
      </c>
      <c r="L215" s="82">
        <f t="shared" ref="L215:S215" si="79">SUM(L216:L220)</f>
        <v>104302.29000000001</v>
      </c>
      <c r="M215" s="82">
        <f t="shared" si="79"/>
        <v>0</v>
      </c>
      <c r="N215" s="82">
        <f t="shared" si="79"/>
        <v>124302.29000000001</v>
      </c>
      <c r="O215" s="82">
        <f t="shared" si="79"/>
        <v>83.21</v>
      </c>
      <c r="P215" s="82">
        <f t="shared" si="79"/>
        <v>0</v>
      </c>
      <c r="Q215" s="82">
        <f t="shared" si="79"/>
        <v>0</v>
      </c>
      <c r="R215" s="82">
        <f t="shared" si="79"/>
        <v>124219.08000000002</v>
      </c>
      <c r="S215" s="82">
        <f t="shared" si="79"/>
        <v>74361.78</v>
      </c>
      <c r="T215" s="83">
        <f t="shared" ref="T215:T220" si="80">S215/R215</f>
        <v>0.59863412287387729</v>
      </c>
      <c r="U215" s="82">
        <f>SUM(U216:U220)</f>
        <v>64303.44</v>
      </c>
      <c r="V215" s="83">
        <f>U215/R215</f>
        <v>0.51766153798595183</v>
      </c>
      <c r="W215" s="82">
        <f>SUM(W216:W220)</f>
        <v>64303.44</v>
      </c>
      <c r="X215" s="84">
        <f>W215/R215</f>
        <v>0.51766153798595183</v>
      </c>
      <c r="Y215" s="49"/>
    </row>
    <row r="216" spans="1:25" s="65" customFormat="1" ht="39" customHeight="1" x14ac:dyDescent="0.2">
      <c r="A216" s="92" t="s">
        <v>110</v>
      </c>
      <c r="B216" s="52" t="s">
        <v>111</v>
      </c>
      <c r="C216" s="53" t="s">
        <v>52</v>
      </c>
      <c r="D216" s="54" t="s">
        <v>164</v>
      </c>
      <c r="E216" s="55" t="s">
        <v>140</v>
      </c>
      <c r="F216" s="56" t="s">
        <v>165</v>
      </c>
      <c r="G216" s="57">
        <v>1</v>
      </c>
      <c r="H216" s="53" t="s">
        <v>53</v>
      </c>
      <c r="I216" s="58" t="s">
        <v>54</v>
      </c>
      <c r="J216" s="59">
        <v>4</v>
      </c>
      <c r="K216" s="60">
        <v>20000</v>
      </c>
      <c r="L216" s="61">
        <v>0</v>
      </c>
      <c r="M216" s="61">
        <v>0</v>
      </c>
      <c r="N216" s="60">
        <f t="shared" si="68"/>
        <v>20000</v>
      </c>
      <c r="O216" s="61">
        <v>0</v>
      </c>
      <c r="P216" s="61">
        <v>0</v>
      </c>
      <c r="Q216" s="61">
        <v>0</v>
      </c>
      <c r="R216" s="60">
        <f t="shared" si="69"/>
        <v>20000</v>
      </c>
      <c r="S216" s="61">
        <f>12495+2952.67+1467+332.82</f>
        <v>17247.489999999998</v>
      </c>
      <c r="T216" s="62">
        <f t="shared" si="80"/>
        <v>0.86237449999999993</v>
      </c>
      <c r="U216" s="61">
        <f>12495+1541+125+2466.27+287.4+332.82</f>
        <v>17247.490000000002</v>
      </c>
      <c r="V216" s="62">
        <f t="shared" si="73"/>
        <v>0.86237450000000004</v>
      </c>
      <c r="W216" s="61">
        <f>14036+125+2466.27+287.4+332.82</f>
        <v>17247.490000000002</v>
      </c>
      <c r="X216" s="63">
        <f t="shared" si="71"/>
        <v>0.86237450000000004</v>
      </c>
      <c r="Y216" s="64"/>
    </row>
    <row r="217" spans="1:25" s="65" customFormat="1" ht="39" customHeight="1" x14ac:dyDescent="0.2">
      <c r="A217" s="92" t="s">
        <v>110</v>
      </c>
      <c r="B217" s="52" t="s">
        <v>111</v>
      </c>
      <c r="C217" s="53" t="s">
        <v>52</v>
      </c>
      <c r="D217" s="54" t="s">
        <v>164</v>
      </c>
      <c r="E217" s="55" t="s">
        <v>140</v>
      </c>
      <c r="F217" s="56" t="s">
        <v>165</v>
      </c>
      <c r="G217" s="57">
        <v>1</v>
      </c>
      <c r="H217" s="53" t="s">
        <v>116</v>
      </c>
      <c r="I217" s="58" t="s">
        <v>117</v>
      </c>
      <c r="J217" s="59">
        <v>4</v>
      </c>
      <c r="K217" s="60">
        <v>0</v>
      </c>
      <c r="L217" s="61">
        <f>3031</f>
        <v>3031</v>
      </c>
      <c r="M217" s="61">
        <v>0</v>
      </c>
      <c r="N217" s="60">
        <f t="shared" si="68"/>
        <v>3031</v>
      </c>
      <c r="O217" s="61">
        <v>0</v>
      </c>
      <c r="P217" s="61">
        <v>0</v>
      </c>
      <c r="Q217" s="61">
        <v>0</v>
      </c>
      <c r="R217" s="60">
        <f t="shared" si="69"/>
        <v>3031</v>
      </c>
      <c r="S217" s="61">
        <f>3030.8</f>
        <v>3030.8</v>
      </c>
      <c r="T217" s="62">
        <f t="shared" si="80"/>
        <v>0.99993401517650948</v>
      </c>
      <c r="U217" s="61">
        <f>1529.98+1115.55+385.27</f>
        <v>3030.7999999999997</v>
      </c>
      <c r="V217" s="62">
        <f t="shared" si="73"/>
        <v>0.99993401517650926</v>
      </c>
      <c r="W217" s="61">
        <f>2645.53+385.27</f>
        <v>3030.8</v>
      </c>
      <c r="X217" s="63">
        <f t="shared" si="71"/>
        <v>0.99993401517650948</v>
      </c>
      <c r="Y217" s="64"/>
    </row>
    <row r="218" spans="1:25" s="65" customFormat="1" ht="39" customHeight="1" x14ac:dyDescent="0.2">
      <c r="A218" s="92" t="s">
        <v>110</v>
      </c>
      <c r="B218" s="52" t="s">
        <v>111</v>
      </c>
      <c r="C218" s="53" t="s">
        <v>52</v>
      </c>
      <c r="D218" s="54" t="s">
        <v>164</v>
      </c>
      <c r="E218" s="55" t="s">
        <v>140</v>
      </c>
      <c r="F218" s="56" t="s">
        <v>165</v>
      </c>
      <c r="G218" s="57">
        <v>1</v>
      </c>
      <c r="H218" s="87" t="s">
        <v>65</v>
      </c>
      <c r="I218" s="88" t="s">
        <v>66</v>
      </c>
      <c r="J218" s="59">
        <v>4</v>
      </c>
      <c r="K218" s="60">
        <v>0</v>
      </c>
      <c r="L218" s="61">
        <f>13933.29+50000</f>
        <v>63933.29</v>
      </c>
      <c r="M218" s="61">
        <v>0</v>
      </c>
      <c r="N218" s="60">
        <f t="shared" si="68"/>
        <v>63933.29</v>
      </c>
      <c r="O218" s="61">
        <v>0</v>
      </c>
      <c r="P218" s="61">
        <v>0</v>
      </c>
      <c r="Q218" s="61">
        <v>0</v>
      </c>
      <c r="R218" s="60">
        <f t="shared" si="69"/>
        <v>63933.29</v>
      </c>
      <c r="S218" s="61">
        <f>6850+2858.99+7199.35</f>
        <v>16908.34</v>
      </c>
      <c r="T218" s="62">
        <f t="shared" si="80"/>
        <v>0.2644684795667484</v>
      </c>
      <c r="U218" s="61">
        <f>6850</f>
        <v>6850</v>
      </c>
      <c r="V218" s="62">
        <f t="shared" si="73"/>
        <v>0.10714292976319535</v>
      </c>
      <c r="W218" s="61">
        <f>6850</f>
        <v>6850</v>
      </c>
      <c r="X218" s="63">
        <f t="shared" si="71"/>
        <v>0.10714292976319535</v>
      </c>
      <c r="Y218" s="64"/>
    </row>
    <row r="219" spans="1:25" s="65" customFormat="1" ht="39" customHeight="1" x14ac:dyDescent="0.2">
      <c r="A219" s="92" t="s">
        <v>110</v>
      </c>
      <c r="B219" s="52" t="s">
        <v>111</v>
      </c>
      <c r="C219" s="53" t="s">
        <v>52</v>
      </c>
      <c r="D219" s="54" t="s">
        <v>164</v>
      </c>
      <c r="E219" s="55" t="s">
        <v>140</v>
      </c>
      <c r="F219" s="56" t="s">
        <v>165</v>
      </c>
      <c r="G219" s="57">
        <v>1</v>
      </c>
      <c r="H219" s="106" t="s">
        <v>118</v>
      </c>
      <c r="I219" s="99" t="s">
        <v>119</v>
      </c>
      <c r="J219" s="59">
        <v>4</v>
      </c>
      <c r="K219" s="60">
        <v>0</v>
      </c>
      <c r="L219" s="61">
        <f>25000</f>
        <v>25000</v>
      </c>
      <c r="M219" s="61">
        <v>0</v>
      </c>
      <c r="N219" s="60">
        <f t="shared" si="68"/>
        <v>25000</v>
      </c>
      <c r="O219" s="61">
        <v>0</v>
      </c>
      <c r="P219" s="61">
        <v>0</v>
      </c>
      <c r="Q219" s="61">
        <v>0</v>
      </c>
      <c r="R219" s="60">
        <f t="shared" si="69"/>
        <v>25000</v>
      </c>
      <c r="S219" s="61">
        <f>24920.36</f>
        <v>24920.36</v>
      </c>
      <c r="T219" s="62">
        <f t="shared" si="80"/>
        <v>0.99681439999999999</v>
      </c>
      <c r="U219" s="61">
        <f>3061.05+17220+2199.31+2440</f>
        <v>24920.36</v>
      </c>
      <c r="V219" s="62">
        <f t="shared" si="73"/>
        <v>0.99681439999999999</v>
      </c>
      <c r="W219" s="61">
        <f>3060.45+17220.6+2199.31+2440</f>
        <v>24920.36</v>
      </c>
      <c r="X219" s="63">
        <f t="shared" si="71"/>
        <v>0.99681439999999999</v>
      </c>
      <c r="Y219" s="64"/>
    </row>
    <row r="220" spans="1:25" s="65" customFormat="1" ht="39" customHeight="1" x14ac:dyDescent="0.2">
      <c r="A220" s="92" t="s">
        <v>110</v>
      </c>
      <c r="B220" s="52" t="s">
        <v>111</v>
      </c>
      <c r="C220" s="53" t="s">
        <v>52</v>
      </c>
      <c r="D220" s="54" t="s">
        <v>164</v>
      </c>
      <c r="E220" s="55" t="s">
        <v>140</v>
      </c>
      <c r="F220" s="56" t="s">
        <v>165</v>
      </c>
      <c r="G220" s="57">
        <v>1</v>
      </c>
      <c r="H220" s="106" t="s">
        <v>162</v>
      </c>
      <c r="I220" s="99" t="s">
        <v>163</v>
      </c>
      <c r="J220" s="59">
        <v>4</v>
      </c>
      <c r="K220" s="60">
        <v>0</v>
      </c>
      <c r="L220" s="61">
        <f>12338</f>
        <v>12338</v>
      </c>
      <c r="M220" s="61">
        <v>0</v>
      </c>
      <c r="N220" s="60">
        <f t="shared" si="68"/>
        <v>12338</v>
      </c>
      <c r="O220" s="61">
        <f>83.21</f>
        <v>83.21</v>
      </c>
      <c r="P220" s="61">
        <v>0</v>
      </c>
      <c r="Q220" s="61">
        <v>0</v>
      </c>
      <c r="R220" s="60">
        <f t="shared" si="69"/>
        <v>12254.79</v>
      </c>
      <c r="S220" s="61">
        <f>12254.79</f>
        <v>12254.79</v>
      </c>
      <c r="T220" s="62">
        <f t="shared" si="80"/>
        <v>1</v>
      </c>
      <c r="U220" s="61">
        <f>2895.81+2615+6743.98</f>
        <v>12254.789999999999</v>
      </c>
      <c r="V220" s="62">
        <f t="shared" si="73"/>
        <v>0.99999999999999989</v>
      </c>
      <c r="W220" s="61">
        <f>2895.81+2615+6743.98</f>
        <v>12254.789999999999</v>
      </c>
      <c r="X220" s="63">
        <f t="shared" si="71"/>
        <v>0.99999999999999989</v>
      </c>
      <c r="Y220" s="64"/>
    </row>
    <row r="221" spans="1:25" s="42" customFormat="1" ht="9" customHeight="1" x14ac:dyDescent="0.2">
      <c r="A221" s="66"/>
      <c r="B221" s="67"/>
      <c r="C221" s="68"/>
      <c r="D221" s="69"/>
      <c r="E221" s="70"/>
      <c r="F221" s="71"/>
      <c r="G221" s="72"/>
      <c r="H221" s="68"/>
      <c r="I221" s="73"/>
      <c r="J221" s="74"/>
      <c r="K221" s="75"/>
      <c r="L221" s="76"/>
      <c r="M221" s="76"/>
      <c r="N221" s="75"/>
      <c r="O221" s="76"/>
      <c r="P221" s="76"/>
      <c r="Q221" s="76"/>
      <c r="R221" s="75"/>
      <c r="S221" s="76"/>
      <c r="T221" s="77"/>
      <c r="U221" s="76"/>
      <c r="V221" s="77"/>
      <c r="W221" s="76"/>
      <c r="X221" s="78"/>
    </row>
    <row r="222" spans="1:25" s="50" customFormat="1" ht="39" customHeight="1" x14ac:dyDescent="0.2">
      <c r="A222" s="100" t="s">
        <v>110</v>
      </c>
      <c r="B222" s="195" t="s">
        <v>111</v>
      </c>
      <c r="C222" s="196"/>
      <c r="D222" s="80" t="s">
        <v>166</v>
      </c>
      <c r="E222" s="81" t="s">
        <v>140</v>
      </c>
      <c r="F222" s="195" t="s">
        <v>167</v>
      </c>
      <c r="G222" s="197"/>
      <c r="H222" s="197"/>
      <c r="I222" s="197"/>
      <c r="J222" s="196"/>
      <c r="K222" s="82">
        <f>SUM(K223:K227)</f>
        <v>10000</v>
      </c>
      <c r="L222" s="82">
        <f t="shared" ref="L222:S222" si="81">SUM(L223:L227)</f>
        <v>238937.76</v>
      </c>
      <c r="M222" s="82">
        <f t="shared" si="81"/>
        <v>0</v>
      </c>
      <c r="N222" s="82">
        <f t="shared" si="81"/>
        <v>248937.76</v>
      </c>
      <c r="O222" s="82">
        <f t="shared" si="81"/>
        <v>0</v>
      </c>
      <c r="P222" s="82">
        <f t="shared" si="81"/>
        <v>0</v>
      </c>
      <c r="Q222" s="82">
        <f t="shared" si="81"/>
        <v>0</v>
      </c>
      <c r="R222" s="82">
        <f t="shared" si="81"/>
        <v>248937.76</v>
      </c>
      <c r="S222" s="82">
        <f t="shared" si="81"/>
        <v>209880.39</v>
      </c>
      <c r="T222" s="83">
        <f t="shared" ref="T222:T227" si="82">S222/R222</f>
        <v>0.8431038746391869</v>
      </c>
      <c r="U222" s="82">
        <f>SUM(U223:U227)</f>
        <v>180023.44</v>
      </c>
      <c r="V222" s="83">
        <f>U222/R222</f>
        <v>0.72316646538476126</v>
      </c>
      <c r="W222" s="82">
        <f>SUM(W223:W227)</f>
        <v>176059.44</v>
      </c>
      <c r="X222" s="84">
        <f>W222/R222</f>
        <v>0.70724280639465864</v>
      </c>
      <c r="Y222" s="49"/>
    </row>
    <row r="223" spans="1:25" s="65" customFormat="1" ht="39" customHeight="1" x14ac:dyDescent="0.2">
      <c r="A223" s="92" t="s">
        <v>110</v>
      </c>
      <c r="B223" s="52" t="s">
        <v>111</v>
      </c>
      <c r="C223" s="53" t="s">
        <v>52</v>
      </c>
      <c r="D223" s="54" t="s">
        <v>166</v>
      </c>
      <c r="E223" s="55" t="s">
        <v>140</v>
      </c>
      <c r="F223" s="56" t="s">
        <v>167</v>
      </c>
      <c r="G223" s="57">
        <v>1</v>
      </c>
      <c r="H223" s="53" t="s">
        <v>53</v>
      </c>
      <c r="I223" s="58" t="s">
        <v>54</v>
      </c>
      <c r="J223" s="59">
        <v>4</v>
      </c>
      <c r="K223" s="60">
        <v>10000</v>
      </c>
      <c r="L223" s="61">
        <v>0</v>
      </c>
      <c r="M223" s="61">
        <v>0</v>
      </c>
      <c r="N223" s="60">
        <f t="shared" si="68"/>
        <v>10000</v>
      </c>
      <c r="O223" s="61">
        <v>0</v>
      </c>
      <c r="P223" s="61">
        <v>0</v>
      </c>
      <c r="Q223" s="61">
        <v>0</v>
      </c>
      <c r="R223" s="60">
        <f t="shared" si="69"/>
        <v>10000</v>
      </c>
      <c r="S223" s="61">
        <f>756+8679.27+311.02+214</f>
        <v>9960.2900000000009</v>
      </c>
      <c r="T223" s="62">
        <f t="shared" si="82"/>
        <v>0.99602900000000005</v>
      </c>
      <c r="U223" s="61">
        <f>4515+2816.87+1239.4+560.87+467.45+360.7</f>
        <v>9960.2900000000027</v>
      </c>
      <c r="V223" s="62">
        <f t="shared" si="73"/>
        <v>0.99602900000000028</v>
      </c>
      <c r="W223" s="61">
        <f>2297+4960+1314.27+486+542.32+360.7</f>
        <v>9960.2900000000009</v>
      </c>
      <c r="X223" s="63">
        <f t="shared" si="71"/>
        <v>0.99602900000000005</v>
      </c>
      <c r="Y223" s="64"/>
    </row>
    <row r="224" spans="1:25" s="65" customFormat="1" ht="39" customHeight="1" x14ac:dyDescent="0.2">
      <c r="A224" s="92" t="s">
        <v>110</v>
      </c>
      <c r="B224" s="52" t="s">
        <v>111</v>
      </c>
      <c r="C224" s="53" t="s">
        <v>52</v>
      </c>
      <c r="D224" s="54" t="s">
        <v>166</v>
      </c>
      <c r="E224" s="55" t="s">
        <v>140</v>
      </c>
      <c r="F224" s="56" t="s">
        <v>167</v>
      </c>
      <c r="G224" s="57">
        <v>1</v>
      </c>
      <c r="H224" s="53" t="s">
        <v>116</v>
      </c>
      <c r="I224" s="58" t="s">
        <v>117</v>
      </c>
      <c r="J224" s="59">
        <v>4</v>
      </c>
      <c r="K224" s="60">
        <v>0</v>
      </c>
      <c r="L224" s="61">
        <f>13215</f>
        <v>13215</v>
      </c>
      <c r="M224" s="61">
        <v>0</v>
      </c>
      <c r="N224" s="60">
        <f t="shared" si="68"/>
        <v>13215</v>
      </c>
      <c r="O224" s="61">
        <v>0</v>
      </c>
      <c r="P224" s="61">
        <v>0</v>
      </c>
      <c r="Q224" s="61">
        <v>0</v>
      </c>
      <c r="R224" s="60">
        <f t="shared" si="69"/>
        <v>13215</v>
      </c>
      <c r="S224" s="61">
        <f>13214.58</f>
        <v>13214.58</v>
      </c>
      <c r="T224" s="62">
        <f t="shared" si="82"/>
        <v>0.99996821793416568</v>
      </c>
      <c r="U224" s="61">
        <f>6834.95+4838.55+1541.08</f>
        <v>13214.58</v>
      </c>
      <c r="V224" s="62">
        <f t="shared" si="73"/>
        <v>0.99996821793416568</v>
      </c>
      <c r="W224" s="61">
        <f>11673.5+1541.08</f>
        <v>13214.58</v>
      </c>
      <c r="X224" s="63">
        <f t="shared" si="71"/>
        <v>0.99996821793416568</v>
      </c>
      <c r="Y224" s="64"/>
    </row>
    <row r="225" spans="1:25" s="65" customFormat="1" ht="39" customHeight="1" x14ac:dyDescent="0.2">
      <c r="A225" s="92" t="s">
        <v>110</v>
      </c>
      <c r="B225" s="52" t="s">
        <v>111</v>
      </c>
      <c r="C225" s="53" t="s">
        <v>52</v>
      </c>
      <c r="D225" s="54" t="s">
        <v>166</v>
      </c>
      <c r="E225" s="55" t="s">
        <v>140</v>
      </c>
      <c r="F225" s="56" t="s">
        <v>167</v>
      </c>
      <c r="G225" s="57">
        <v>1</v>
      </c>
      <c r="H225" s="87" t="s">
        <v>65</v>
      </c>
      <c r="I225" s="88" t="s">
        <v>66</v>
      </c>
      <c r="J225" s="59">
        <v>4</v>
      </c>
      <c r="K225" s="60">
        <v>0</v>
      </c>
      <c r="L225" s="61">
        <f>62952.76+50000</f>
        <v>112952.76000000001</v>
      </c>
      <c r="M225" s="61">
        <v>0</v>
      </c>
      <c r="N225" s="60">
        <f t="shared" si="68"/>
        <v>112952.76000000001</v>
      </c>
      <c r="O225" s="61">
        <v>0</v>
      </c>
      <c r="P225" s="61">
        <v>0</v>
      </c>
      <c r="Q225" s="61">
        <v>0</v>
      </c>
      <c r="R225" s="60">
        <f t="shared" si="69"/>
        <v>112952.76000000001</v>
      </c>
      <c r="S225" s="61">
        <f>47026+11435.96+15670.99</f>
        <v>74132.95</v>
      </c>
      <c r="T225" s="62">
        <f t="shared" si="82"/>
        <v>0.6563181811582115</v>
      </c>
      <c r="U225" s="61">
        <f>14310+29966</f>
        <v>44276</v>
      </c>
      <c r="V225" s="62">
        <f t="shared" si="73"/>
        <v>0.39198688017893496</v>
      </c>
      <c r="W225" s="61">
        <f>40312</f>
        <v>40312</v>
      </c>
      <c r="X225" s="63">
        <f t="shared" si="71"/>
        <v>0.35689256287318694</v>
      </c>
      <c r="Y225" s="64"/>
    </row>
    <row r="226" spans="1:25" s="65" customFormat="1" ht="39" customHeight="1" x14ac:dyDescent="0.2">
      <c r="A226" s="92" t="s">
        <v>110</v>
      </c>
      <c r="B226" s="52" t="s">
        <v>111</v>
      </c>
      <c r="C226" s="53" t="s">
        <v>52</v>
      </c>
      <c r="D226" s="54" t="s">
        <v>166</v>
      </c>
      <c r="E226" s="55" t="s">
        <v>140</v>
      </c>
      <c r="F226" s="56" t="s">
        <v>167</v>
      </c>
      <c r="G226" s="57">
        <v>1</v>
      </c>
      <c r="H226" s="106" t="s">
        <v>118</v>
      </c>
      <c r="I226" s="99" t="s">
        <v>119</v>
      </c>
      <c r="J226" s="59">
        <v>4</v>
      </c>
      <c r="K226" s="60">
        <v>0</v>
      </c>
      <c r="L226" s="61">
        <f>75000</f>
        <v>75000</v>
      </c>
      <c r="M226" s="61">
        <v>0</v>
      </c>
      <c r="N226" s="60">
        <f t="shared" si="68"/>
        <v>75000</v>
      </c>
      <c r="O226" s="61">
        <v>0</v>
      </c>
      <c r="P226" s="61">
        <v>0</v>
      </c>
      <c r="Q226" s="61">
        <v>0</v>
      </c>
      <c r="R226" s="60">
        <f t="shared" si="69"/>
        <v>75000</v>
      </c>
      <c r="S226" s="61">
        <f>74999.08</f>
        <v>74999.08</v>
      </c>
      <c r="T226" s="62">
        <f t="shared" si="82"/>
        <v>0.99998773333333335</v>
      </c>
      <c r="U226" s="61">
        <f>11470.13+47706+2615+8107.95+5100</f>
        <v>74999.08</v>
      </c>
      <c r="V226" s="62">
        <f t="shared" si="73"/>
        <v>0.99998773333333335</v>
      </c>
      <c r="W226" s="61">
        <f>11470.13+47706+2615+8107.95+5100</f>
        <v>74999.08</v>
      </c>
      <c r="X226" s="63">
        <f t="shared" si="71"/>
        <v>0.99998773333333335</v>
      </c>
      <c r="Y226" s="64"/>
    </row>
    <row r="227" spans="1:25" s="65" customFormat="1" ht="39" customHeight="1" x14ac:dyDescent="0.2">
      <c r="A227" s="92" t="s">
        <v>110</v>
      </c>
      <c r="B227" s="52" t="s">
        <v>111</v>
      </c>
      <c r="C227" s="53" t="s">
        <v>52</v>
      </c>
      <c r="D227" s="54" t="s">
        <v>166</v>
      </c>
      <c r="E227" s="55" t="s">
        <v>140</v>
      </c>
      <c r="F227" s="56" t="s">
        <v>167</v>
      </c>
      <c r="G227" s="57">
        <v>1</v>
      </c>
      <c r="H227" s="106" t="s">
        <v>162</v>
      </c>
      <c r="I227" s="99" t="s">
        <v>163</v>
      </c>
      <c r="J227" s="59">
        <v>4</v>
      </c>
      <c r="K227" s="60">
        <v>0</v>
      </c>
      <c r="L227" s="61">
        <f>37770</f>
        <v>37770</v>
      </c>
      <c r="M227" s="61">
        <v>0</v>
      </c>
      <c r="N227" s="60">
        <f t="shared" si="68"/>
        <v>37770</v>
      </c>
      <c r="O227" s="61">
        <f>196.51-196.51</f>
        <v>0</v>
      </c>
      <c r="P227" s="61">
        <v>0</v>
      </c>
      <c r="Q227" s="61">
        <v>0</v>
      </c>
      <c r="R227" s="60">
        <f t="shared" si="69"/>
        <v>37770</v>
      </c>
      <c r="S227" s="61">
        <f>37573.49</f>
        <v>37573.49</v>
      </c>
      <c r="T227" s="62">
        <f t="shared" si="82"/>
        <v>0.99479719353984641</v>
      </c>
      <c r="U227" s="61">
        <f>4903+20040.5+9258+3371.99</f>
        <v>37573.49</v>
      </c>
      <c r="V227" s="62">
        <f t="shared" si="73"/>
        <v>0.99479719353984641</v>
      </c>
      <c r="W227" s="61">
        <f>17431.5+12742+4028+3371.99</f>
        <v>37573.49</v>
      </c>
      <c r="X227" s="63">
        <f t="shared" si="71"/>
        <v>0.99479719353984641</v>
      </c>
      <c r="Y227" s="64"/>
    </row>
    <row r="228" spans="1:25" s="42" customFormat="1" ht="9" customHeight="1" x14ac:dyDescent="0.2">
      <c r="A228" s="66"/>
      <c r="B228" s="67"/>
      <c r="C228" s="68"/>
      <c r="D228" s="69"/>
      <c r="E228" s="70"/>
      <c r="F228" s="71"/>
      <c r="G228" s="72"/>
      <c r="H228" s="68"/>
      <c r="I228" s="73"/>
      <c r="J228" s="74"/>
      <c r="K228" s="75"/>
      <c r="L228" s="76"/>
      <c r="M228" s="76"/>
      <c r="N228" s="75"/>
      <c r="O228" s="76"/>
      <c r="P228" s="76"/>
      <c r="Q228" s="76"/>
      <c r="R228" s="75"/>
      <c r="S228" s="76"/>
      <c r="T228" s="77"/>
      <c r="U228" s="76"/>
      <c r="V228" s="77"/>
      <c r="W228" s="76"/>
      <c r="X228" s="78"/>
    </row>
    <row r="229" spans="1:25" s="50" customFormat="1" ht="39" customHeight="1" x14ac:dyDescent="0.2">
      <c r="A229" s="100" t="s">
        <v>110</v>
      </c>
      <c r="B229" s="195" t="s">
        <v>111</v>
      </c>
      <c r="C229" s="196"/>
      <c r="D229" s="80" t="s">
        <v>168</v>
      </c>
      <c r="E229" s="81" t="s">
        <v>135</v>
      </c>
      <c r="F229" s="195" t="s">
        <v>169</v>
      </c>
      <c r="G229" s="197"/>
      <c r="H229" s="197"/>
      <c r="I229" s="197"/>
      <c r="J229" s="196"/>
      <c r="K229" s="82">
        <f>K230</f>
        <v>10000</v>
      </c>
      <c r="L229" s="82">
        <f t="shared" ref="L229:S229" si="83">L230</f>
        <v>0</v>
      </c>
      <c r="M229" s="82">
        <f t="shared" si="83"/>
        <v>0</v>
      </c>
      <c r="N229" s="82">
        <f t="shared" si="83"/>
        <v>10000</v>
      </c>
      <c r="O229" s="82">
        <f t="shared" si="83"/>
        <v>0</v>
      </c>
      <c r="P229" s="82">
        <f t="shared" si="83"/>
        <v>0</v>
      </c>
      <c r="Q229" s="82">
        <f t="shared" si="83"/>
        <v>0</v>
      </c>
      <c r="R229" s="82">
        <f t="shared" si="83"/>
        <v>10000</v>
      </c>
      <c r="S229" s="82">
        <f t="shared" si="83"/>
        <v>0</v>
      </c>
      <c r="T229" s="83">
        <f>S229/R229</f>
        <v>0</v>
      </c>
      <c r="U229" s="82">
        <f>U230</f>
        <v>0</v>
      </c>
      <c r="V229" s="83">
        <f>U229/R229</f>
        <v>0</v>
      </c>
      <c r="W229" s="82">
        <f>W230</f>
        <v>0</v>
      </c>
      <c r="X229" s="84">
        <f>W229/R229</f>
        <v>0</v>
      </c>
      <c r="Y229" s="49"/>
    </row>
    <row r="230" spans="1:25" s="65" customFormat="1" ht="39" customHeight="1" x14ac:dyDescent="0.2">
      <c r="A230" s="92" t="s">
        <v>110</v>
      </c>
      <c r="B230" s="52" t="s">
        <v>111</v>
      </c>
      <c r="C230" s="53" t="s">
        <v>60</v>
      </c>
      <c r="D230" s="54" t="s">
        <v>168</v>
      </c>
      <c r="E230" s="55" t="s">
        <v>135</v>
      </c>
      <c r="F230" s="56" t="s">
        <v>169</v>
      </c>
      <c r="G230" s="57">
        <v>1</v>
      </c>
      <c r="H230" s="53" t="s">
        <v>116</v>
      </c>
      <c r="I230" s="58" t="s">
        <v>117</v>
      </c>
      <c r="J230" s="59">
        <v>3</v>
      </c>
      <c r="K230" s="60">
        <f>1000+2000+7000</f>
        <v>10000</v>
      </c>
      <c r="L230" s="61">
        <v>0</v>
      </c>
      <c r="M230" s="61">
        <v>0</v>
      </c>
      <c r="N230" s="60">
        <f t="shared" si="55"/>
        <v>10000</v>
      </c>
      <c r="O230" s="61">
        <v>0</v>
      </c>
      <c r="P230" s="61">
        <v>0</v>
      </c>
      <c r="Q230" s="61">
        <v>0</v>
      </c>
      <c r="R230" s="60">
        <f t="shared" si="56"/>
        <v>10000</v>
      </c>
      <c r="S230" s="61">
        <v>0</v>
      </c>
      <c r="T230" s="62">
        <f>S230/R230</f>
        <v>0</v>
      </c>
      <c r="U230" s="61">
        <v>0</v>
      </c>
      <c r="V230" s="62">
        <f t="shared" si="73"/>
        <v>0</v>
      </c>
      <c r="W230" s="61">
        <v>0</v>
      </c>
      <c r="X230" s="63">
        <f t="shared" si="71"/>
        <v>0</v>
      </c>
      <c r="Y230" s="64"/>
    </row>
    <row r="231" spans="1:25" s="42" customFormat="1" ht="9" customHeight="1" x14ac:dyDescent="0.2">
      <c r="A231" s="66"/>
      <c r="B231" s="67"/>
      <c r="C231" s="68"/>
      <c r="D231" s="69"/>
      <c r="E231" s="70"/>
      <c r="F231" s="71"/>
      <c r="G231" s="72"/>
      <c r="H231" s="68"/>
      <c r="I231" s="73"/>
      <c r="J231" s="74"/>
      <c r="K231" s="75"/>
      <c r="L231" s="76"/>
      <c r="M231" s="76"/>
      <c r="N231" s="75"/>
      <c r="O231" s="76"/>
      <c r="P231" s="76"/>
      <c r="Q231" s="76"/>
      <c r="R231" s="75"/>
      <c r="S231" s="76"/>
      <c r="T231" s="77"/>
      <c r="U231" s="76"/>
      <c r="V231" s="77"/>
      <c r="W231" s="76"/>
      <c r="X231" s="78"/>
    </row>
    <row r="232" spans="1:25" s="50" customFormat="1" ht="39" customHeight="1" x14ac:dyDescent="0.2">
      <c r="A232" s="100" t="s">
        <v>110</v>
      </c>
      <c r="B232" s="195" t="s">
        <v>111</v>
      </c>
      <c r="C232" s="196"/>
      <c r="D232" s="80" t="s">
        <v>170</v>
      </c>
      <c r="E232" s="81" t="s">
        <v>135</v>
      </c>
      <c r="F232" s="195" t="s">
        <v>171</v>
      </c>
      <c r="G232" s="197"/>
      <c r="H232" s="197"/>
      <c r="I232" s="197"/>
      <c r="J232" s="196"/>
      <c r="K232" s="82">
        <f t="shared" ref="K232:S232" si="84">SUM(K233:K234)</f>
        <v>50000</v>
      </c>
      <c r="L232" s="82">
        <f t="shared" si="84"/>
        <v>1960000</v>
      </c>
      <c r="M232" s="82">
        <f t="shared" si="84"/>
        <v>240000</v>
      </c>
      <c r="N232" s="82">
        <f t="shared" si="84"/>
        <v>1770000</v>
      </c>
      <c r="O232" s="82">
        <f t="shared" si="84"/>
        <v>700000</v>
      </c>
      <c r="P232" s="82">
        <f t="shared" si="84"/>
        <v>0</v>
      </c>
      <c r="Q232" s="82">
        <f t="shared" si="84"/>
        <v>0</v>
      </c>
      <c r="R232" s="82">
        <f t="shared" si="84"/>
        <v>1070000</v>
      </c>
      <c r="S232" s="82">
        <f t="shared" si="84"/>
        <v>1051525.75</v>
      </c>
      <c r="T232" s="83">
        <f>S232/R232</f>
        <v>0.98273434579439256</v>
      </c>
      <c r="U232" s="82">
        <f>SUM(U233:U234)</f>
        <v>1051525.75</v>
      </c>
      <c r="V232" s="83">
        <f>U232/R232</f>
        <v>0.98273434579439256</v>
      </c>
      <c r="W232" s="82">
        <f>SUM(W233:W234)</f>
        <v>1051525.75</v>
      </c>
      <c r="X232" s="84">
        <f>W232/R232</f>
        <v>0.98273434579439256</v>
      </c>
      <c r="Y232" s="49"/>
    </row>
    <row r="233" spans="1:25" s="65" customFormat="1" ht="39" customHeight="1" x14ac:dyDescent="0.2">
      <c r="A233" s="92" t="s">
        <v>110</v>
      </c>
      <c r="B233" s="52" t="s">
        <v>111</v>
      </c>
      <c r="C233" s="53" t="s">
        <v>60</v>
      </c>
      <c r="D233" s="54" t="s">
        <v>170</v>
      </c>
      <c r="E233" s="55" t="s">
        <v>135</v>
      </c>
      <c r="F233" s="56" t="s">
        <v>171</v>
      </c>
      <c r="G233" s="57">
        <v>1</v>
      </c>
      <c r="H233" s="53" t="s">
        <v>116</v>
      </c>
      <c r="I233" s="58" t="s">
        <v>117</v>
      </c>
      <c r="J233" s="59">
        <v>3</v>
      </c>
      <c r="K233" s="60">
        <v>50000</v>
      </c>
      <c r="L233" s="61">
        <v>0</v>
      </c>
      <c r="M233" s="61">
        <v>0</v>
      </c>
      <c r="N233" s="60">
        <f t="shared" si="55"/>
        <v>50000</v>
      </c>
      <c r="O233" s="61">
        <f>30000</f>
        <v>30000</v>
      </c>
      <c r="P233" s="61">
        <v>0</v>
      </c>
      <c r="Q233" s="61">
        <v>0</v>
      </c>
      <c r="R233" s="60">
        <f t="shared" si="56"/>
        <v>20000</v>
      </c>
      <c r="S233" s="61">
        <f>683.1+842.65</f>
        <v>1525.75</v>
      </c>
      <c r="T233" s="62">
        <f>S233/R233</f>
        <v>7.6287499999999994E-2</v>
      </c>
      <c r="U233" s="61">
        <f>683.1+842.65</f>
        <v>1525.75</v>
      </c>
      <c r="V233" s="62">
        <f t="shared" si="73"/>
        <v>7.6287499999999994E-2</v>
      </c>
      <c r="W233" s="61">
        <f>683.1+842.65</f>
        <v>1525.75</v>
      </c>
      <c r="X233" s="63">
        <f t="shared" si="71"/>
        <v>7.6287499999999994E-2</v>
      </c>
      <c r="Y233" s="64"/>
    </row>
    <row r="234" spans="1:25" s="65" customFormat="1" ht="39" customHeight="1" x14ac:dyDescent="0.2">
      <c r="A234" s="92" t="s">
        <v>110</v>
      </c>
      <c r="B234" s="52" t="s">
        <v>111</v>
      </c>
      <c r="C234" s="53" t="s">
        <v>60</v>
      </c>
      <c r="D234" s="54" t="s">
        <v>170</v>
      </c>
      <c r="E234" s="55" t="s">
        <v>135</v>
      </c>
      <c r="F234" s="56" t="s">
        <v>171</v>
      </c>
      <c r="G234" s="57">
        <v>1</v>
      </c>
      <c r="H234" s="106" t="s">
        <v>118</v>
      </c>
      <c r="I234" s="99" t="s">
        <v>119</v>
      </c>
      <c r="J234" s="59">
        <v>3</v>
      </c>
      <c r="K234" s="60">
        <v>0</v>
      </c>
      <c r="L234" s="61">
        <f>1960000</f>
        <v>1960000</v>
      </c>
      <c r="M234" s="61">
        <f>240000</f>
        <v>240000</v>
      </c>
      <c r="N234" s="60">
        <f t="shared" si="55"/>
        <v>1720000</v>
      </c>
      <c r="O234" s="61">
        <f>1960000-240000-350000-700000</f>
        <v>670000</v>
      </c>
      <c r="P234" s="61">
        <v>0</v>
      </c>
      <c r="Q234" s="61">
        <v>0</v>
      </c>
      <c r="R234" s="60">
        <f t="shared" ref="R234" si="85">N234-O234+P234+Q234</f>
        <v>1050000</v>
      </c>
      <c r="S234" s="61">
        <f>350000+700000</f>
        <v>1050000</v>
      </c>
      <c r="T234" s="62">
        <f>S234/R234</f>
        <v>1</v>
      </c>
      <c r="U234" s="61">
        <f>350000+700000</f>
        <v>1050000</v>
      </c>
      <c r="V234" s="62">
        <f t="shared" si="73"/>
        <v>1</v>
      </c>
      <c r="W234" s="61">
        <f>350000+700000</f>
        <v>1050000</v>
      </c>
      <c r="X234" s="63">
        <f t="shared" si="71"/>
        <v>1</v>
      </c>
      <c r="Y234" s="64"/>
    </row>
    <row r="235" spans="1:25" s="42" customFormat="1" ht="9" customHeight="1" x14ac:dyDescent="0.2">
      <c r="A235" s="66"/>
      <c r="B235" s="67"/>
      <c r="C235" s="68"/>
      <c r="D235" s="69"/>
      <c r="E235" s="70"/>
      <c r="F235" s="71"/>
      <c r="G235" s="72"/>
      <c r="H235" s="68"/>
      <c r="I235" s="73"/>
      <c r="J235" s="74"/>
      <c r="K235" s="75"/>
      <c r="L235" s="76"/>
      <c r="M235" s="76"/>
      <c r="N235" s="75"/>
      <c r="O235" s="76"/>
      <c r="P235" s="76"/>
      <c r="Q235" s="76"/>
      <c r="R235" s="75"/>
      <c r="S235" s="76"/>
      <c r="T235" s="77"/>
      <c r="U235" s="76"/>
      <c r="V235" s="77"/>
      <c r="W235" s="76"/>
      <c r="X235" s="78"/>
    </row>
    <row r="236" spans="1:25" s="50" customFormat="1" ht="39" customHeight="1" x14ac:dyDescent="0.2">
      <c r="A236" s="100" t="s">
        <v>110</v>
      </c>
      <c r="B236" s="195" t="s">
        <v>111</v>
      </c>
      <c r="C236" s="196"/>
      <c r="D236" s="80" t="s">
        <v>172</v>
      </c>
      <c r="E236" s="81" t="s">
        <v>58</v>
      </c>
      <c r="F236" s="195" t="s">
        <v>173</v>
      </c>
      <c r="G236" s="197"/>
      <c r="H236" s="197"/>
      <c r="I236" s="197"/>
      <c r="J236" s="196"/>
      <c r="K236" s="82">
        <f>SUM(K237:K239)</f>
        <v>257694</v>
      </c>
      <c r="L236" s="82">
        <f t="shared" ref="L236:S236" si="86">SUM(L237:L239)</f>
        <v>15300</v>
      </c>
      <c r="M236" s="82">
        <f t="shared" si="86"/>
        <v>0</v>
      </c>
      <c r="N236" s="82">
        <f t="shared" si="86"/>
        <v>272994</v>
      </c>
      <c r="O236" s="82">
        <f t="shared" si="86"/>
        <v>0</v>
      </c>
      <c r="P236" s="82">
        <f t="shared" si="86"/>
        <v>0</v>
      </c>
      <c r="Q236" s="82">
        <f t="shared" si="86"/>
        <v>0</v>
      </c>
      <c r="R236" s="82">
        <f t="shared" si="86"/>
        <v>272994</v>
      </c>
      <c r="S236" s="82">
        <f t="shared" si="86"/>
        <v>178884.96000000002</v>
      </c>
      <c r="T236" s="83">
        <f>S236/R236</f>
        <v>0.65527066528934708</v>
      </c>
      <c r="U236" s="82">
        <f>SUM(U237:U239)</f>
        <v>163201.82999999999</v>
      </c>
      <c r="V236" s="83">
        <f>U236/R236</f>
        <v>0.59782204004483608</v>
      </c>
      <c r="W236" s="82">
        <f>SUM(W237:W239)</f>
        <v>163201.82999999999</v>
      </c>
      <c r="X236" s="84">
        <f>W236/R236</f>
        <v>0.59782204004483608</v>
      </c>
      <c r="Y236" s="49"/>
    </row>
    <row r="237" spans="1:25" s="65" customFormat="1" ht="39" customHeight="1" x14ac:dyDescent="0.2">
      <c r="A237" s="92" t="s">
        <v>110</v>
      </c>
      <c r="B237" s="52" t="s">
        <v>111</v>
      </c>
      <c r="C237" s="53" t="s">
        <v>60</v>
      </c>
      <c r="D237" s="54" t="s">
        <v>172</v>
      </c>
      <c r="E237" s="55" t="s">
        <v>58</v>
      </c>
      <c r="F237" s="56" t="s">
        <v>173</v>
      </c>
      <c r="G237" s="57">
        <v>1</v>
      </c>
      <c r="H237" s="53" t="s">
        <v>116</v>
      </c>
      <c r="I237" s="58" t="s">
        <v>117</v>
      </c>
      <c r="J237" s="59">
        <v>3</v>
      </c>
      <c r="K237" s="60">
        <f>15000+20000+20000+5000+34450+142000</f>
        <v>236450</v>
      </c>
      <c r="L237" s="61">
        <v>0</v>
      </c>
      <c r="M237" s="61">
        <v>0</v>
      </c>
      <c r="N237" s="60">
        <f>K237+L237-M237</f>
        <v>236450</v>
      </c>
      <c r="O237" s="61">
        <v>0</v>
      </c>
      <c r="P237" s="61">
        <v>0</v>
      </c>
      <c r="Q237" s="61">
        <v>0</v>
      </c>
      <c r="R237" s="60">
        <f>N237-O237+P237+Q237</f>
        <v>236450</v>
      </c>
      <c r="S237" s="61">
        <f>9116.16+23587.5+1304.6+11200+20396+12652.3+11978.4+16650+16543.15+31000</f>
        <v>154428.11000000002</v>
      </c>
      <c r="T237" s="62">
        <f>S237/R237</f>
        <v>0.65311105942059633</v>
      </c>
      <c r="U237" s="61">
        <f>9116.16+12360.25+12377.35+11072.75+19468.75+11725.05+11051.15+11072.75+17615.9+26795.5</f>
        <v>142655.60999999999</v>
      </c>
      <c r="V237" s="62">
        <f t="shared" si="73"/>
        <v>0.60332252061746661</v>
      </c>
      <c r="W237" s="61">
        <f>9116.16+1287.5+23450.1+11072.75+8396+22797.8+11051.15+11072.75+17615.9+26795.5</f>
        <v>142655.60999999999</v>
      </c>
      <c r="X237" s="63">
        <f t="shared" si="71"/>
        <v>0.60332252061746661</v>
      </c>
      <c r="Y237" s="64"/>
    </row>
    <row r="238" spans="1:25" s="65" customFormat="1" ht="39" customHeight="1" x14ac:dyDescent="0.2">
      <c r="A238" s="92" t="s">
        <v>110</v>
      </c>
      <c r="B238" s="52" t="s">
        <v>111</v>
      </c>
      <c r="C238" s="53" t="s">
        <v>60</v>
      </c>
      <c r="D238" s="54" t="s">
        <v>172</v>
      </c>
      <c r="E238" s="55" t="s">
        <v>58</v>
      </c>
      <c r="F238" s="56" t="s">
        <v>173</v>
      </c>
      <c r="G238" s="57">
        <v>1</v>
      </c>
      <c r="H238" s="53" t="s">
        <v>116</v>
      </c>
      <c r="I238" s="58" t="s">
        <v>117</v>
      </c>
      <c r="J238" s="59">
        <v>4</v>
      </c>
      <c r="K238" s="60">
        <v>21244</v>
      </c>
      <c r="L238" s="61">
        <v>0</v>
      </c>
      <c r="M238" s="61">
        <v>0</v>
      </c>
      <c r="N238" s="60">
        <f>K238+L238-M238</f>
        <v>21244</v>
      </c>
      <c r="O238" s="61">
        <v>0</v>
      </c>
      <c r="P238" s="61">
        <v>0</v>
      </c>
      <c r="Q238" s="61">
        <v>0</v>
      </c>
      <c r="R238" s="60">
        <f>N238-O238+P238+Q238</f>
        <v>21244</v>
      </c>
      <c r="S238" s="61">
        <f>5786.23+3370.62</f>
        <v>9156.8499999999985</v>
      </c>
      <c r="T238" s="62">
        <f>S238/R238</f>
        <v>0.43103229147053279</v>
      </c>
      <c r="U238" s="61">
        <f>5246.22</f>
        <v>5246.22</v>
      </c>
      <c r="V238" s="62">
        <f t="shared" si="73"/>
        <v>0.24695066842402563</v>
      </c>
      <c r="W238" s="61">
        <f>5246.22</f>
        <v>5246.22</v>
      </c>
      <c r="X238" s="63">
        <f t="shared" si="71"/>
        <v>0.24695066842402563</v>
      </c>
      <c r="Y238" s="64"/>
    </row>
    <row r="239" spans="1:25" s="65" customFormat="1" ht="39" customHeight="1" x14ac:dyDescent="0.2">
      <c r="A239" s="92" t="s">
        <v>110</v>
      </c>
      <c r="B239" s="52" t="s">
        <v>111</v>
      </c>
      <c r="C239" s="53" t="s">
        <v>60</v>
      </c>
      <c r="D239" s="54" t="s">
        <v>172</v>
      </c>
      <c r="E239" s="55" t="s">
        <v>58</v>
      </c>
      <c r="F239" s="56" t="s">
        <v>173</v>
      </c>
      <c r="G239" s="57">
        <v>1</v>
      </c>
      <c r="H239" s="87" t="s">
        <v>65</v>
      </c>
      <c r="I239" s="88" t="s">
        <v>66</v>
      </c>
      <c r="J239" s="59">
        <v>4</v>
      </c>
      <c r="K239" s="60">
        <v>0</v>
      </c>
      <c r="L239" s="61">
        <f>15300</f>
        <v>15300</v>
      </c>
      <c r="M239" s="61">
        <v>0</v>
      </c>
      <c r="N239" s="60">
        <f>K239+L239-M239</f>
        <v>15300</v>
      </c>
      <c r="O239" s="61">
        <v>0</v>
      </c>
      <c r="P239" s="61">
        <v>0</v>
      </c>
      <c r="Q239" s="61">
        <v>0</v>
      </c>
      <c r="R239" s="60">
        <f>N239-O239+P239+Q239</f>
        <v>15300</v>
      </c>
      <c r="S239" s="61">
        <f>15300</f>
        <v>15300</v>
      </c>
      <c r="T239" s="62">
        <f>S239/R239</f>
        <v>1</v>
      </c>
      <c r="U239" s="61">
        <f>15300</f>
        <v>15300</v>
      </c>
      <c r="V239" s="62">
        <f t="shared" si="73"/>
        <v>1</v>
      </c>
      <c r="W239" s="61">
        <f>15300</f>
        <v>15300</v>
      </c>
      <c r="X239" s="63">
        <f t="shared" si="71"/>
        <v>1</v>
      </c>
      <c r="Y239" s="64"/>
    </row>
    <row r="240" spans="1:25" s="42" customFormat="1" ht="9" customHeight="1" x14ac:dyDescent="0.2">
      <c r="A240" s="66"/>
      <c r="B240" s="67"/>
      <c r="C240" s="68"/>
      <c r="D240" s="69"/>
      <c r="E240" s="70"/>
      <c r="F240" s="71"/>
      <c r="G240" s="72"/>
      <c r="H240" s="68"/>
      <c r="I240" s="73"/>
      <c r="J240" s="74"/>
      <c r="K240" s="75"/>
      <c r="L240" s="76"/>
      <c r="M240" s="76"/>
      <c r="N240" s="75"/>
      <c r="O240" s="76"/>
      <c r="P240" s="76"/>
      <c r="Q240" s="76"/>
      <c r="R240" s="75"/>
      <c r="S240" s="76"/>
      <c r="T240" s="77"/>
      <c r="U240" s="76"/>
      <c r="V240" s="77"/>
      <c r="W240" s="76"/>
      <c r="X240" s="78"/>
    </row>
    <row r="241" spans="1:25" s="50" customFormat="1" ht="39" customHeight="1" x14ac:dyDescent="0.2">
      <c r="A241" s="100" t="s">
        <v>110</v>
      </c>
      <c r="B241" s="195" t="s">
        <v>111</v>
      </c>
      <c r="C241" s="196"/>
      <c r="D241" s="80" t="s">
        <v>174</v>
      </c>
      <c r="E241" s="81" t="s">
        <v>58</v>
      </c>
      <c r="F241" s="195" t="s">
        <v>175</v>
      </c>
      <c r="G241" s="197"/>
      <c r="H241" s="197"/>
      <c r="I241" s="197"/>
      <c r="J241" s="196"/>
      <c r="K241" s="82">
        <f>SUM(K242:K246)</f>
        <v>32469750</v>
      </c>
      <c r="L241" s="82">
        <f t="shared" ref="L241:S241" si="87">SUM(L242:L246)</f>
        <v>3462298.69</v>
      </c>
      <c r="M241" s="82">
        <f t="shared" si="87"/>
        <v>115053</v>
      </c>
      <c r="N241" s="82">
        <f t="shared" si="87"/>
        <v>35816995.689999998</v>
      </c>
      <c r="O241" s="82">
        <f t="shared" si="87"/>
        <v>2854</v>
      </c>
      <c r="P241" s="82">
        <f t="shared" si="87"/>
        <v>0</v>
      </c>
      <c r="Q241" s="82">
        <f t="shared" si="87"/>
        <v>0</v>
      </c>
      <c r="R241" s="82">
        <f t="shared" si="87"/>
        <v>35814141.689999998</v>
      </c>
      <c r="S241" s="82">
        <f t="shared" si="87"/>
        <v>31452843.310000002</v>
      </c>
      <c r="T241" s="83">
        <f t="shared" ref="T241:T246" si="88">S241/R241</f>
        <v>0.87822412672204975</v>
      </c>
      <c r="U241" s="82">
        <f>SUM(U242:U246)</f>
        <v>28349109</v>
      </c>
      <c r="V241" s="83">
        <f>U241/R241</f>
        <v>0.79156187087726915</v>
      </c>
      <c r="W241" s="82">
        <f>SUM(W242:W246)</f>
        <v>27798994.77</v>
      </c>
      <c r="X241" s="84">
        <f>W241/R241</f>
        <v>0.77620161919898856</v>
      </c>
      <c r="Y241" s="49"/>
    </row>
    <row r="242" spans="1:25" s="65" customFormat="1" ht="39" customHeight="1" x14ac:dyDescent="0.2">
      <c r="A242" s="92" t="s">
        <v>110</v>
      </c>
      <c r="B242" s="52" t="s">
        <v>111</v>
      </c>
      <c r="C242" s="53" t="s">
        <v>60</v>
      </c>
      <c r="D242" s="54" t="s">
        <v>174</v>
      </c>
      <c r="E242" s="55" t="s">
        <v>58</v>
      </c>
      <c r="F242" s="56" t="s">
        <v>175</v>
      </c>
      <c r="G242" s="57">
        <v>1</v>
      </c>
      <c r="H242" s="53" t="s">
        <v>116</v>
      </c>
      <c r="I242" s="58" t="s">
        <v>117</v>
      </c>
      <c r="J242" s="59">
        <v>3</v>
      </c>
      <c r="K242" s="60">
        <f>30000+5762500+335000+1090000+12733500+12307750+201000+10000</f>
        <v>32469750</v>
      </c>
      <c r="L242" s="61">
        <f>800000</f>
        <v>800000</v>
      </c>
      <c r="M242" s="61">
        <f>85053+30000</f>
        <v>115053</v>
      </c>
      <c r="N242" s="60">
        <f>K242+L242-M242</f>
        <v>33154697</v>
      </c>
      <c r="O242" s="61">
        <v>0</v>
      </c>
      <c r="P242" s="61">
        <v>0</v>
      </c>
      <c r="Q242" s="61">
        <v>0</v>
      </c>
      <c r="R242" s="60">
        <f>N242-O242+P242+Q242</f>
        <v>33154697</v>
      </c>
      <c r="S242" s="61">
        <f>2517292.03+1678034.42+2412868.99+2076611.99+3052333.99+2732629.42+2687653.34+2846988.67+3233637.46+4326942.85+2518294.75</f>
        <v>30083287.910000004</v>
      </c>
      <c r="T242" s="62">
        <f t="shared" si="88"/>
        <v>0.90736126799771399</v>
      </c>
      <c r="U242" s="61">
        <f>1327326.71+1584280.95+2065400.77+2596798.98+2897843.48+2796506.75+2832663.28+2747872.53+2616831.53+3440401.29+2121393.91</f>
        <v>27027320.18</v>
      </c>
      <c r="V242" s="62">
        <f t="shared" si="73"/>
        <v>0.81518827272045347</v>
      </c>
      <c r="W242" s="61">
        <f>1325600.07+1421287.3+1704511.96+3064215.76+2923747.83+2821737.87+2763673.88+2681902.16+2497933.62+3540693.68+1731901.82</f>
        <v>26477205.949999999</v>
      </c>
      <c r="X242" s="63">
        <f t="shared" si="71"/>
        <v>0.7985959259407498</v>
      </c>
      <c r="Y242" s="64"/>
    </row>
    <row r="243" spans="1:25" s="65" customFormat="1" ht="39" customHeight="1" x14ac:dyDescent="0.2">
      <c r="A243" s="92" t="s">
        <v>110</v>
      </c>
      <c r="B243" s="52" t="s">
        <v>111</v>
      </c>
      <c r="C243" s="53" t="s">
        <v>60</v>
      </c>
      <c r="D243" s="54" t="s">
        <v>174</v>
      </c>
      <c r="E243" s="55" t="s">
        <v>58</v>
      </c>
      <c r="F243" s="56" t="s">
        <v>175</v>
      </c>
      <c r="G243" s="57">
        <v>1</v>
      </c>
      <c r="H243" s="85" t="s">
        <v>63</v>
      </c>
      <c r="I243" s="86" t="s">
        <v>64</v>
      </c>
      <c r="J243" s="59">
        <v>3</v>
      </c>
      <c r="K243" s="60">
        <v>0</v>
      </c>
      <c r="L243" s="61">
        <f>2030000</f>
        <v>2030000</v>
      </c>
      <c r="M243" s="61">
        <v>0</v>
      </c>
      <c r="N243" s="60">
        <f t="shared" ref="N243:N246" si="89">K243+L243-M243</f>
        <v>2030000</v>
      </c>
      <c r="O243" s="61">
        <v>0</v>
      </c>
      <c r="P243" s="61">
        <v>0</v>
      </c>
      <c r="Q243" s="61">
        <v>0</v>
      </c>
      <c r="R243" s="60">
        <f>N243-O243+P243+Q243</f>
        <v>2030000</v>
      </c>
      <c r="S243" s="61">
        <f>1031600</f>
        <v>1031600</v>
      </c>
      <c r="T243" s="62">
        <f t="shared" si="88"/>
        <v>0.50817733990147784</v>
      </c>
      <c r="U243" s="61">
        <f>1002143.16</f>
        <v>1002143.16</v>
      </c>
      <c r="V243" s="62">
        <f t="shared" si="73"/>
        <v>0.49366658128078822</v>
      </c>
      <c r="W243" s="61">
        <f>1002143.16</f>
        <v>1002143.16</v>
      </c>
      <c r="X243" s="63">
        <f t="shared" si="71"/>
        <v>0.49366658128078822</v>
      </c>
      <c r="Y243" s="64"/>
    </row>
    <row r="244" spans="1:25" s="65" customFormat="1" ht="39" customHeight="1" x14ac:dyDescent="0.2">
      <c r="A244" s="92" t="s">
        <v>110</v>
      </c>
      <c r="B244" s="52" t="s">
        <v>111</v>
      </c>
      <c r="C244" s="53" t="s">
        <v>60</v>
      </c>
      <c r="D244" s="54" t="s">
        <v>174</v>
      </c>
      <c r="E244" s="55" t="s">
        <v>58</v>
      </c>
      <c r="F244" s="56" t="s">
        <v>175</v>
      </c>
      <c r="G244" s="57">
        <v>1</v>
      </c>
      <c r="H244" s="87" t="s">
        <v>65</v>
      </c>
      <c r="I244" s="88" t="s">
        <v>66</v>
      </c>
      <c r="J244" s="59">
        <v>3</v>
      </c>
      <c r="K244" s="60">
        <v>0</v>
      </c>
      <c r="L244" s="61">
        <f>2514+65460+87164.69</f>
        <v>155138.69</v>
      </c>
      <c r="M244" s="61">
        <v>0</v>
      </c>
      <c r="N244" s="60">
        <f t="shared" si="89"/>
        <v>155138.69</v>
      </c>
      <c r="O244" s="61">
        <f>2514</f>
        <v>2514</v>
      </c>
      <c r="P244" s="61">
        <v>0</v>
      </c>
      <c r="Q244" s="61">
        <v>0</v>
      </c>
      <c r="R244" s="60">
        <f>N244-O244+P244+Q244</f>
        <v>152624.69</v>
      </c>
      <c r="S244" s="61">
        <f>190.35+2342.7+9529.4+28892.95</f>
        <v>40955.4</v>
      </c>
      <c r="T244" s="62">
        <f t="shared" si="88"/>
        <v>0.2683405941725418</v>
      </c>
      <c r="U244" s="61">
        <f>2533.05+9529.4+11128.62</f>
        <v>23191.07</v>
      </c>
      <c r="V244" s="62">
        <f t="shared" si="73"/>
        <v>0.15194835121368633</v>
      </c>
      <c r="W244" s="61">
        <f>2533.05+9529.4+11128.62</f>
        <v>23191.07</v>
      </c>
      <c r="X244" s="63">
        <f t="shared" si="71"/>
        <v>0.15194835121368633</v>
      </c>
      <c r="Y244" s="64"/>
    </row>
    <row r="245" spans="1:25" s="65" customFormat="1" ht="39" customHeight="1" x14ac:dyDescent="0.2">
      <c r="A245" s="92" t="s">
        <v>110</v>
      </c>
      <c r="B245" s="52" t="s">
        <v>111</v>
      </c>
      <c r="C245" s="53" t="s">
        <v>60</v>
      </c>
      <c r="D245" s="54" t="s">
        <v>174</v>
      </c>
      <c r="E245" s="55" t="s">
        <v>58</v>
      </c>
      <c r="F245" s="56" t="s">
        <v>175</v>
      </c>
      <c r="G245" s="57">
        <v>1</v>
      </c>
      <c r="H245" s="106" t="s">
        <v>118</v>
      </c>
      <c r="I245" s="99" t="s">
        <v>119</v>
      </c>
      <c r="J245" s="59">
        <v>3</v>
      </c>
      <c r="K245" s="60">
        <v>0</v>
      </c>
      <c r="L245" s="61">
        <f>460000</f>
        <v>460000</v>
      </c>
      <c r="M245" s="61">
        <v>0</v>
      </c>
      <c r="N245" s="60">
        <f t="shared" si="89"/>
        <v>460000</v>
      </c>
      <c r="O245" s="61">
        <v>0</v>
      </c>
      <c r="P245" s="61">
        <v>0</v>
      </c>
      <c r="Q245" s="61">
        <v>0</v>
      </c>
      <c r="R245" s="60">
        <f>N245-O245+P245+Q245</f>
        <v>460000</v>
      </c>
      <c r="S245" s="61">
        <f>297000</f>
        <v>297000</v>
      </c>
      <c r="T245" s="62">
        <f t="shared" si="88"/>
        <v>0.64565217391304353</v>
      </c>
      <c r="U245" s="61">
        <f>296454.59</f>
        <v>296454.59000000003</v>
      </c>
      <c r="V245" s="62">
        <f t="shared" si="73"/>
        <v>0.64446650000000005</v>
      </c>
      <c r="W245" s="61">
        <f>296454.59</f>
        <v>296454.59000000003</v>
      </c>
      <c r="X245" s="63">
        <f t="shared" si="71"/>
        <v>0.64446650000000005</v>
      </c>
      <c r="Y245" s="64"/>
    </row>
    <row r="246" spans="1:25" s="65" customFormat="1" ht="39" customHeight="1" x14ac:dyDescent="0.2">
      <c r="A246" s="92" t="s">
        <v>110</v>
      </c>
      <c r="B246" s="52" t="s">
        <v>111</v>
      </c>
      <c r="C246" s="53" t="s">
        <v>60</v>
      </c>
      <c r="D246" s="54" t="s">
        <v>174</v>
      </c>
      <c r="E246" s="55" t="s">
        <v>58</v>
      </c>
      <c r="F246" s="56" t="s">
        <v>175</v>
      </c>
      <c r="G246" s="57">
        <v>1</v>
      </c>
      <c r="H246" s="106" t="s">
        <v>162</v>
      </c>
      <c r="I246" s="99" t="s">
        <v>163</v>
      </c>
      <c r="J246" s="59">
        <v>3</v>
      </c>
      <c r="K246" s="60">
        <v>0</v>
      </c>
      <c r="L246" s="61">
        <f>17160</f>
        <v>17160</v>
      </c>
      <c r="M246" s="61">
        <v>0</v>
      </c>
      <c r="N246" s="60">
        <f t="shared" si="89"/>
        <v>17160</v>
      </c>
      <c r="O246" s="61">
        <f>340</f>
        <v>340</v>
      </c>
      <c r="P246" s="61">
        <v>0</v>
      </c>
      <c r="Q246" s="61">
        <v>0</v>
      </c>
      <c r="R246" s="60">
        <f t="shared" ref="R246" si="90">N246-O246+P246+Q246</f>
        <v>16820</v>
      </c>
      <c r="S246" s="61">
        <v>0</v>
      </c>
      <c r="T246" s="62">
        <f t="shared" si="88"/>
        <v>0</v>
      </c>
      <c r="U246" s="61">
        <v>0</v>
      </c>
      <c r="V246" s="62">
        <f t="shared" si="73"/>
        <v>0</v>
      </c>
      <c r="W246" s="61">
        <v>0</v>
      </c>
      <c r="X246" s="63">
        <f t="shared" si="71"/>
        <v>0</v>
      </c>
      <c r="Y246" s="64"/>
    </row>
    <row r="247" spans="1:25" s="42" customFormat="1" ht="9" customHeight="1" x14ac:dyDescent="0.2">
      <c r="A247" s="66"/>
      <c r="B247" s="67"/>
      <c r="C247" s="68"/>
      <c r="D247" s="69"/>
      <c r="E247" s="70"/>
      <c r="F247" s="71"/>
      <c r="G247" s="72"/>
      <c r="H247" s="68"/>
      <c r="I247" s="73"/>
      <c r="J247" s="74"/>
      <c r="K247" s="75"/>
      <c r="L247" s="76"/>
      <c r="M247" s="76"/>
      <c r="N247" s="75"/>
      <c r="O247" s="76"/>
      <c r="P247" s="76"/>
      <c r="Q247" s="76"/>
      <c r="R247" s="75"/>
      <c r="S247" s="76"/>
      <c r="T247" s="77"/>
      <c r="U247" s="76"/>
      <c r="V247" s="77"/>
      <c r="W247" s="76"/>
      <c r="X247" s="78"/>
    </row>
    <row r="248" spans="1:25" s="50" customFormat="1" ht="39" customHeight="1" x14ac:dyDescent="0.2">
      <c r="A248" s="100" t="s">
        <v>110</v>
      </c>
      <c r="B248" s="195" t="s">
        <v>111</v>
      </c>
      <c r="C248" s="196"/>
      <c r="D248" s="80" t="s">
        <v>176</v>
      </c>
      <c r="E248" s="81" t="s">
        <v>58</v>
      </c>
      <c r="F248" s="195" t="s">
        <v>59</v>
      </c>
      <c r="G248" s="197"/>
      <c r="H248" s="197"/>
      <c r="I248" s="197"/>
      <c r="J248" s="196"/>
      <c r="K248" s="82">
        <f>SUM(K249:K250)</f>
        <v>7658625</v>
      </c>
      <c r="L248" s="82">
        <f t="shared" ref="L248:W248" si="91">SUM(L249:L250)</f>
        <v>1170000</v>
      </c>
      <c r="M248" s="82">
        <f t="shared" si="91"/>
        <v>0</v>
      </c>
      <c r="N248" s="82">
        <f t="shared" si="91"/>
        <v>8828625</v>
      </c>
      <c r="O248" s="82">
        <f t="shared" si="91"/>
        <v>0</v>
      </c>
      <c r="P248" s="82">
        <f t="shared" si="91"/>
        <v>0</v>
      </c>
      <c r="Q248" s="82">
        <f t="shared" si="91"/>
        <v>0</v>
      </c>
      <c r="R248" s="82">
        <f t="shared" si="91"/>
        <v>8828625</v>
      </c>
      <c r="S248" s="82">
        <f t="shared" si="91"/>
        <v>7862230.6600000001</v>
      </c>
      <c r="T248" s="83">
        <f>S248/R248</f>
        <v>0.89053852213679929</v>
      </c>
      <c r="U248" s="82">
        <f t="shared" si="91"/>
        <v>7495858.7499999991</v>
      </c>
      <c r="V248" s="83">
        <f>U248/R248</f>
        <v>0.8490403375384048</v>
      </c>
      <c r="W248" s="82">
        <f t="shared" si="91"/>
        <v>7493965.9799999995</v>
      </c>
      <c r="X248" s="84">
        <f>W248/R248</f>
        <v>0.84882594741536754</v>
      </c>
      <c r="Y248" s="49"/>
    </row>
    <row r="249" spans="1:25" s="65" customFormat="1" ht="39" customHeight="1" x14ac:dyDescent="0.2">
      <c r="A249" s="92" t="s">
        <v>110</v>
      </c>
      <c r="B249" s="52" t="s">
        <v>111</v>
      </c>
      <c r="C249" s="53" t="s">
        <v>60</v>
      </c>
      <c r="D249" s="54" t="s">
        <v>176</v>
      </c>
      <c r="E249" s="55" t="s">
        <v>58</v>
      </c>
      <c r="F249" s="56" t="s">
        <v>59</v>
      </c>
      <c r="G249" s="57">
        <v>1</v>
      </c>
      <c r="H249" s="53" t="s">
        <v>116</v>
      </c>
      <c r="I249" s="58" t="s">
        <v>117</v>
      </c>
      <c r="J249" s="59">
        <v>3</v>
      </c>
      <c r="K249" s="60">
        <f>3612000+4046625</f>
        <v>7658625</v>
      </c>
      <c r="L249" s="61">
        <f>500000</f>
        <v>500000</v>
      </c>
      <c r="M249" s="61">
        <v>0</v>
      </c>
      <c r="N249" s="60">
        <f>K249+L249-M249</f>
        <v>8158625</v>
      </c>
      <c r="O249" s="61">
        <v>0</v>
      </c>
      <c r="P249" s="61">
        <v>0</v>
      </c>
      <c r="Q249" s="61">
        <v>0</v>
      </c>
      <c r="R249" s="60">
        <f>N249-O249+P249+Q249</f>
        <v>8158625</v>
      </c>
      <c r="S249" s="61">
        <f>645915.76+667567.63+528104+644103.55+689266.8+792025.75+762145.23+821890.91+781612.54+739257.6+429840.89</f>
        <v>7501730.6600000001</v>
      </c>
      <c r="T249" s="62">
        <f>S249/R249</f>
        <v>0.91948467542018419</v>
      </c>
      <c r="U249" s="61">
        <f>558987.8+643437.97+328404.95+640578.8+672813.07+761508.86+1090648.9+821302.22+781025.24+767310.05+429840.89</f>
        <v>7495858.7499999991</v>
      </c>
      <c r="V249" s="62">
        <f t="shared" si="73"/>
        <v>0.9187649573304324</v>
      </c>
      <c r="W249" s="61">
        <f>558987.8+355567.63+616275.29+640578.8+672813.07+761508.86+1090648.9+821302.22+781025.24+767310.05+427948.12</f>
        <v>7493965.9799999995</v>
      </c>
      <c r="X249" s="63">
        <f t="shared" si="71"/>
        <v>0.91853296113009231</v>
      </c>
      <c r="Y249" s="64"/>
    </row>
    <row r="250" spans="1:25" s="65" customFormat="1" ht="39" customHeight="1" x14ac:dyDescent="0.2">
      <c r="A250" s="92" t="s">
        <v>110</v>
      </c>
      <c r="B250" s="52" t="s">
        <v>111</v>
      </c>
      <c r="C250" s="53" t="s">
        <v>60</v>
      </c>
      <c r="D250" s="54" t="s">
        <v>176</v>
      </c>
      <c r="E250" s="55" t="s">
        <v>58</v>
      </c>
      <c r="F250" s="56" t="s">
        <v>59</v>
      </c>
      <c r="G250" s="57">
        <v>1</v>
      </c>
      <c r="H250" s="85" t="s">
        <v>63</v>
      </c>
      <c r="I250" s="86" t="s">
        <v>64</v>
      </c>
      <c r="J250" s="59">
        <v>3</v>
      </c>
      <c r="K250" s="60">
        <v>0</v>
      </c>
      <c r="L250" s="61">
        <f>670000</f>
        <v>670000</v>
      </c>
      <c r="M250" s="61">
        <v>0</v>
      </c>
      <c r="N250" s="60">
        <f>K250+L250-M250</f>
        <v>670000</v>
      </c>
      <c r="O250" s="61">
        <v>0</v>
      </c>
      <c r="P250" s="61">
        <v>0</v>
      </c>
      <c r="Q250" s="61">
        <v>0</v>
      </c>
      <c r="R250" s="60">
        <f>N250-O250+P250+Q250</f>
        <v>670000</v>
      </c>
      <c r="S250" s="61">
        <f>360500</f>
        <v>360500</v>
      </c>
      <c r="T250" s="62">
        <f>S250/R250</f>
        <v>0.53805970149253735</v>
      </c>
      <c r="U250" s="61">
        <v>0</v>
      </c>
      <c r="V250" s="62">
        <f t="shared" si="73"/>
        <v>0</v>
      </c>
      <c r="W250" s="61">
        <v>0</v>
      </c>
      <c r="X250" s="63">
        <f t="shared" si="71"/>
        <v>0</v>
      </c>
      <c r="Y250" s="64"/>
    </row>
    <row r="251" spans="1:25" s="42" customFormat="1" ht="9" customHeight="1" x14ac:dyDescent="0.2">
      <c r="A251" s="66"/>
      <c r="B251" s="67"/>
      <c r="C251" s="68"/>
      <c r="D251" s="69"/>
      <c r="E251" s="70"/>
      <c r="F251" s="71"/>
      <c r="G251" s="72"/>
      <c r="H251" s="68"/>
      <c r="I251" s="73"/>
      <c r="J251" s="74"/>
      <c r="K251" s="75"/>
      <c r="L251" s="76"/>
      <c r="M251" s="76"/>
      <c r="N251" s="75"/>
      <c r="O251" s="76"/>
      <c r="P251" s="76"/>
      <c r="Q251" s="76"/>
      <c r="R251" s="75"/>
      <c r="S251" s="76"/>
      <c r="T251" s="77"/>
      <c r="U251" s="76"/>
      <c r="V251" s="77"/>
      <c r="W251" s="76"/>
      <c r="X251" s="78"/>
    </row>
    <row r="252" spans="1:25" s="50" customFormat="1" ht="39" customHeight="1" x14ac:dyDescent="0.2">
      <c r="A252" s="100" t="s">
        <v>110</v>
      </c>
      <c r="B252" s="195" t="s">
        <v>111</v>
      </c>
      <c r="C252" s="196"/>
      <c r="D252" s="80" t="s">
        <v>177</v>
      </c>
      <c r="E252" s="81" t="s">
        <v>58</v>
      </c>
      <c r="F252" s="195" t="s">
        <v>68</v>
      </c>
      <c r="G252" s="197"/>
      <c r="H252" s="197"/>
      <c r="I252" s="197"/>
      <c r="J252" s="196"/>
      <c r="K252" s="82">
        <f>SUM(K253:K254)</f>
        <v>363135</v>
      </c>
      <c r="L252" s="82">
        <f t="shared" ref="L252:W252" si="92">SUM(L253:L254)</f>
        <v>45000</v>
      </c>
      <c r="M252" s="82">
        <f t="shared" si="92"/>
        <v>0</v>
      </c>
      <c r="N252" s="82">
        <f t="shared" si="92"/>
        <v>408135</v>
      </c>
      <c r="O252" s="82">
        <f t="shared" si="92"/>
        <v>0</v>
      </c>
      <c r="P252" s="82">
        <f t="shared" si="92"/>
        <v>0</v>
      </c>
      <c r="Q252" s="82">
        <f t="shared" si="92"/>
        <v>0</v>
      </c>
      <c r="R252" s="82">
        <f t="shared" si="92"/>
        <v>408135</v>
      </c>
      <c r="S252" s="82">
        <f t="shared" si="92"/>
        <v>337480.06999999995</v>
      </c>
      <c r="T252" s="83">
        <f>S252/R252</f>
        <v>0.82688343317774748</v>
      </c>
      <c r="U252" s="82">
        <f t="shared" si="92"/>
        <v>310647.58</v>
      </c>
      <c r="V252" s="83">
        <f>U252/R252</f>
        <v>0.76113927989513275</v>
      </c>
      <c r="W252" s="82">
        <f t="shared" si="92"/>
        <v>310647.58</v>
      </c>
      <c r="X252" s="84">
        <f>W252/R252</f>
        <v>0.76113927989513275</v>
      </c>
      <c r="Y252" s="49"/>
    </row>
    <row r="253" spans="1:25" s="65" customFormat="1" ht="39" customHeight="1" x14ac:dyDescent="0.2">
      <c r="A253" s="92" t="s">
        <v>110</v>
      </c>
      <c r="B253" s="52" t="s">
        <v>111</v>
      </c>
      <c r="C253" s="53" t="s">
        <v>60</v>
      </c>
      <c r="D253" s="54" t="s">
        <v>177</v>
      </c>
      <c r="E253" s="55" t="s">
        <v>58</v>
      </c>
      <c r="F253" s="56" t="s">
        <v>68</v>
      </c>
      <c r="G253" s="57">
        <v>1</v>
      </c>
      <c r="H253" s="53" t="s">
        <v>116</v>
      </c>
      <c r="I253" s="58" t="s">
        <v>117</v>
      </c>
      <c r="J253" s="59">
        <v>3</v>
      </c>
      <c r="K253" s="60">
        <f>252000+111135</f>
        <v>363135</v>
      </c>
      <c r="L253" s="61">
        <v>0</v>
      </c>
      <c r="M253" s="61">
        <v>0</v>
      </c>
      <c r="N253" s="60">
        <f t="shared" ref="N253:N313" si="93">K253+L253-M253</f>
        <v>363135</v>
      </c>
      <c r="O253" s="61">
        <v>0</v>
      </c>
      <c r="P253" s="61">
        <v>0</v>
      </c>
      <c r="Q253" s="61">
        <v>0</v>
      </c>
      <c r="R253" s="60">
        <f t="shared" ref="R253:R334" si="94">N253-O253+P253+Q253</f>
        <v>363135</v>
      </c>
      <c r="S253" s="61">
        <f>35799.9+18218.05+23568+17796.31+35685.95+27000+39806.77+38637.01+36029.04+27074.03+11365.01</f>
        <v>310980.06999999995</v>
      </c>
      <c r="T253" s="62">
        <f>S253/R253</f>
        <v>0.85637592080080394</v>
      </c>
      <c r="U253" s="61">
        <f>14930.98+30836.6+8568+17927.39+33613.35+25534.1+60313.77+37470.75+35820.95+34266.68+11365.01</f>
        <v>310647.58</v>
      </c>
      <c r="V253" s="62">
        <f t="shared" si="73"/>
        <v>0.85546031090365848</v>
      </c>
      <c r="W253" s="61">
        <f>14930.98+8218.05+31186.55+17927.39+33613.35+25534.1+60313.77+37470.75+35820.95+34266.68+11365.01</f>
        <v>310647.58</v>
      </c>
      <c r="X253" s="63">
        <f t="shared" si="71"/>
        <v>0.85546031090365848</v>
      </c>
      <c r="Y253" s="64"/>
    </row>
    <row r="254" spans="1:25" s="65" customFormat="1" ht="39" customHeight="1" x14ac:dyDescent="0.2">
      <c r="A254" s="92" t="s">
        <v>110</v>
      </c>
      <c r="B254" s="52" t="s">
        <v>111</v>
      </c>
      <c r="C254" s="53" t="s">
        <v>60</v>
      </c>
      <c r="D254" s="54" t="s">
        <v>177</v>
      </c>
      <c r="E254" s="55" t="s">
        <v>58</v>
      </c>
      <c r="F254" s="56" t="s">
        <v>68</v>
      </c>
      <c r="G254" s="57">
        <v>1</v>
      </c>
      <c r="H254" s="85" t="s">
        <v>63</v>
      </c>
      <c r="I254" s="86" t="s">
        <v>64</v>
      </c>
      <c r="J254" s="59">
        <v>3</v>
      </c>
      <c r="K254" s="60">
        <v>0</v>
      </c>
      <c r="L254" s="61">
        <f>45000</f>
        <v>45000</v>
      </c>
      <c r="M254" s="61">
        <v>0</v>
      </c>
      <c r="N254" s="60">
        <f t="shared" si="93"/>
        <v>45000</v>
      </c>
      <c r="O254" s="61">
        <v>0</v>
      </c>
      <c r="P254" s="61">
        <v>0</v>
      </c>
      <c r="Q254" s="61">
        <v>0</v>
      </c>
      <c r="R254" s="60">
        <f t="shared" si="94"/>
        <v>45000</v>
      </c>
      <c r="S254" s="61">
        <f>26500</f>
        <v>26500</v>
      </c>
      <c r="T254" s="62">
        <f>S254/R254</f>
        <v>0.58888888888888891</v>
      </c>
      <c r="U254" s="61">
        <v>0</v>
      </c>
      <c r="V254" s="62">
        <f t="shared" si="73"/>
        <v>0</v>
      </c>
      <c r="W254" s="61">
        <v>0</v>
      </c>
      <c r="X254" s="63">
        <f t="shared" si="71"/>
        <v>0</v>
      </c>
      <c r="Y254" s="64"/>
    </row>
    <row r="255" spans="1:25" s="42" customFormat="1" ht="9" customHeight="1" x14ac:dyDescent="0.2">
      <c r="A255" s="66"/>
      <c r="B255" s="67"/>
      <c r="C255" s="68"/>
      <c r="D255" s="69"/>
      <c r="E255" s="70"/>
      <c r="F255" s="71"/>
      <c r="G255" s="72"/>
      <c r="H255" s="68"/>
      <c r="I255" s="73"/>
      <c r="J255" s="74"/>
      <c r="K255" s="75"/>
      <c r="L255" s="76"/>
      <c r="M255" s="76"/>
      <c r="N255" s="75"/>
      <c r="O255" s="76"/>
      <c r="P255" s="76"/>
      <c r="Q255" s="76"/>
      <c r="R255" s="75"/>
      <c r="S255" s="76"/>
      <c r="T255" s="77"/>
      <c r="U255" s="76"/>
      <c r="V255" s="77"/>
      <c r="W255" s="76"/>
      <c r="X255" s="78"/>
    </row>
    <row r="256" spans="1:25" s="50" customFormat="1" ht="39" customHeight="1" x14ac:dyDescent="0.2">
      <c r="A256" s="100" t="s">
        <v>110</v>
      </c>
      <c r="B256" s="195" t="s">
        <v>111</v>
      </c>
      <c r="C256" s="196"/>
      <c r="D256" s="80" t="s">
        <v>178</v>
      </c>
      <c r="E256" s="81" t="s">
        <v>58</v>
      </c>
      <c r="F256" s="195" t="s">
        <v>70</v>
      </c>
      <c r="G256" s="197"/>
      <c r="H256" s="197"/>
      <c r="I256" s="197"/>
      <c r="J256" s="196"/>
      <c r="K256" s="82">
        <f>SUM(K257:K258)</f>
        <v>381760</v>
      </c>
      <c r="L256" s="82">
        <f t="shared" ref="L256:W256" si="95">SUM(L257:L258)</f>
        <v>90000</v>
      </c>
      <c r="M256" s="82">
        <f t="shared" si="95"/>
        <v>0</v>
      </c>
      <c r="N256" s="82">
        <f t="shared" si="95"/>
        <v>471760</v>
      </c>
      <c r="O256" s="82">
        <f t="shared" si="95"/>
        <v>0</v>
      </c>
      <c r="P256" s="82">
        <f t="shared" si="95"/>
        <v>0</v>
      </c>
      <c r="Q256" s="82">
        <f t="shared" si="95"/>
        <v>0</v>
      </c>
      <c r="R256" s="82">
        <f t="shared" si="95"/>
        <v>471760</v>
      </c>
      <c r="S256" s="82">
        <f t="shared" si="95"/>
        <v>410376.37999999995</v>
      </c>
      <c r="T256" s="83">
        <f>S256/R256</f>
        <v>0.86988379684585371</v>
      </c>
      <c r="U256" s="82">
        <f t="shared" si="95"/>
        <v>368957.12</v>
      </c>
      <c r="V256" s="83">
        <f>U256/R256</f>
        <v>0.78208648465321351</v>
      </c>
      <c r="W256" s="82">
        <f t="shared" si="95"/>
        <v>368957.12</v>
      </c>
      <c r="X256" s="84">
        <f>W256/R256</f>
        <v>0.78208648465321351</v>
      </c>
      <c r="Y256" s="49"/>
    </row>
    <row r="257" spans="1:25" s="65" customFormat="1" ht="39" customHeight="1" x14ac:dyDescent="0.2">
      <c r="A257" s="92" t="s">
        <v>110</v>
      </c>
      <c r="B257" s="52" t="s">
        <v>111</v>
      </c>
      <c r="C257" s="53" t="s">
        <v>60</v>
      </c>
      <c r="D257" s="54" t="s">
        <v>178</v>
      </c>
      <c r="E257" s="55" t="s">
        <v>58</v>
      </c>
      <c r="F257" s="56" t="s">
        <v>70</v>
      </c>
      <c r="G257" s="57">
        <v>1</v>
      </c>
      <c r="H257" s="53" t="s">
        <v>116</v>
      </c>
      <c r="I257" s="58" t="s">
        <v>117</v>
      </c>
      <c r="J257" s="59">
        <v>3</v>
      </c>
      <c r="K257" s="60">
        <f>336000+45760</f>
        <v>381760</v>
      </c>
      <c r="L257" s="61">
        <v>0</v>
      </c>
      <c r="M257" s="61">
        <v>0</v>
      </c>
      <c r="N257" s="60">
        <f t="shared" si="93"/>
        <v>381760</v>
      </c>
      <c r="O257" s="61">
        <v>0</v>
      </c>
      <c r="P257" s="61">
        <v>0</v>
      </c>
      <c r="Q257" s="61">
        <v>0</v>
      </c>
      <c r="R257" s="60">
        <f t="shared" si="94"/>
        <v>381760</v>
      </c>
      <c r="S257" s="61">
        <f>38479.94+30739.35+21498.33+25069.72+40261.4+37418.2+45084.36+42738.12+40542.48+45370.36+2674.12</f>
        <v>369876.37999999995</v>
      </c>
      <c r="T257" s="62">
        <f>S257/R257</f>
        <v>0.96887148994132422</v>
      </c>
      <c r="U257" s="61">
        <f>31109.22+29412.55+1498.33+25511.5+33442.1+35952.9+80724.16+42626.07+40304.01+45702.16+2674.12</f>
        <v>368957.12</v>
      </c>
      <c r="V257" s="62">
        <f t="shared" si="73"/>
        <v>0.96646353730092205</v>
      </c>
      <c r="W257" s="61">
        <f>31109.22+2739.35+28171.53+25511.5+33442.1+35952.9+80724.16+42626.07+40304.01+45702.16+2674.12</f>
        <v>368957.12</v>
      </c>
      <c r="X257" s="63">
        <f t="shared" si="71"/>
        <v>0.96646353730092205</v>
      </c>
      <c r="Y257" s="64"/>
    </row>
    <row r="258" spans="1:25" s="65" customFormat="1" ht="39" customHeight="1" x14ac:dyDescent="0.2">
      <c r="A258" s="92" t="s">
        <v>110</v>
      </c>
      <c r="B258" s="52" t="s">
        <v>111</v>
      </c>
      <c r="C258" s="53" t="s">
        <v>60</v>
      </c>
      <c r="D258" s="54" t="s">
        <v>178</v>
      </c>
      <c r="E258" s="55" t="s">
        <v>58</v>
      </c>
      <c r="F258" s="56" t="s">
        <v>70</v>
      </c>
      <c r="G258" s="57">
        <v>1</v>
      </c>
      <c r="H258" s="85" t="s">
        <v>63</v>
      </c>
      <c r="I258" s="86" t="s">
        <v>64</v>
      </c>
      <c r="J258" s="59">
        <v>3</v>
      </c>
      <c r="K258" s="60">
        <v>0</v>
      </c>
      <c r="L258" s="61">
        <f>90000</f>
        <v>90000</v>
      </c>
      <c r="M258" s="61">
        <v>0</v>
      </c>
      <c r="N258" s="60">
        <f t="shared" si="93"/>
        <v>90000</v>
      </c>
      <c r="O258" s="61">
        <v>0</v>
      </c>
      <c r="P258" s="61">
        <v>0</v>
      </c>
      <c r="Q258" s="61">
        <v>0</v>
      </c>
      <c r="R258" s="60">
        <f t="shared" si="94"/>
        <v>90000</v>
      </c>
      <c r="S258" s="61">
        <f>40500</f>
        <v>40500</v>
      </c>
      <c r="T258" s="62">
        <f>S258/R258</f>
        <v>0.45</v>
      </c>
      <c r="U258" s="61">
        <v>0</v>
      </c>
      <c r="V258" s="62">
        <f t="shared" si="73"/>
        <v>0</v>
      </c>
      <c r="W258" s="61">
        <v>0</v>
      </c>
      <c r="X258" s="63">
        <f t="shared" si="71"/>
        <v>0</v>
      </c>
      <c r="Y258" s="64"/>
    </row>
    <row r="259" spans="1:25" s="42" customFormat="1" ht="9" customHeight="1" x14ac:dyDescent="0.2">
      <c r="A259" s="66"/>
      <c r="B259" s="67"/>
      <c r="C259" s="68"/>
      <c r="D259" s="69"/>
      <c r="E259" s="70"/>
      <c r="F259" s="71"/>
      <c r="G259" s="72"/>
      <c r="H259" s="68"/>
      <c r="I259" s="73"/>
      <c r="J259" s="74"/>
      <c r="K259" s="75"/>
      <c r="L259" s="76"/>
      <c r="M259" s="76"/>
      <c r="N259" s="75"/>
      <c r="O259" s="76"/>
      <c r="P259" s="76"/>
      <c r="Q259" s="76"/>
      <c r="R259" s="75"/>
      <c r="S259" s="76"/>
      <c r="T259" s="77"/>
      <c r="U259" s="76"/>
      <c r="V259" s="77"/>
      <c r="W259" s="76"/>
      <c r="X259" s="78"/>
    </row>
    <row r="260" spans="1:25" s="50" customFormat="1" ht="39" customHeight="1" x14ac:dyDescent="0.2">
      <c r="A260" s="100" t="s">
        <v>110</v>
      </c>
      <c r="B260" s="195" t="s">
        <v>111</v>
      </c>
      <c r="C260" s="196"/>
      <c r="D260" s="80" t="s">
        <v>179</v>
      </c>
      <c r="E260" s="81" t="s">
        <v>58</v>
      </c>
      <c r="F260" s="195" t="s">
        <v>180</v>
      </c>
      <c r="G260" s="197"/>
      <c r="H260" s="197"/>
      <c r="I260" s="197"/>
      <c r="J260" s="196"/>
      <c r="K260" s="82">
        <f>SUM(K261:K264)</f>
        <v>6938500</v>
      </c>
      <c r="L260" s="82">
        <f t="shared" ref="L260:S260" si="96">SUM(L261:L264)</f>
        <v>1687908.38</v>
      </c>
      <c r="M260" s="82">
        <f t="shared" si="96"/>
        <v>0</v>
      </c>
      <c r="N260" s="82">
        <f t="shared" si="96"/>
        <v>8626408.3800000008</v>
      </c>
      <c r="O260" s="82">
        <f t="shared" si="96"/>
        <v>122</v>
      </c>
      <c r="P260" s="82">
        <f t="shared" si="96"/>
        <v>0</v>
      </c>
      <c r="Q260" s="82">
        <f t="shared" si="96"/>
        <v>0</v>
      </c>
      <c r="R260" s="82">
        <f t="shared" si="96"/>
        <v>8626286.3800000008</v>
      </c>
      <c r="S260" s="82">
        <f t="shared" si="96"/>
        <v>7288995.21</v>
      </c>
      <c r="T260" s="83">
        <f>S260/R260</f>
        <v>0.84497486970749047</v>
      </c>
      <c r="U260" s="82">
        <f>SUM(U261:U264)</f>
        <v>6374124.6200000001</v>
      </c>
      <c r="V260" s="83">
        <f>U260/R260</f>
        <v>0.73891873503972394</v>
      </c>
      <c r="W260" s="82">
        <f>SUM(W261:W264)</f>
        <v>6196041.2999999998</v>
      </c>
      <c r="X260" s="84">
        <f>W260/R260</f>
        <v>0.71827447258944344</v>
      </c>
      <c r="Y260" s="49"/>
    </row>
    <row r="261" spans="1:25" s="65" customFormat="1" ht="39" customHeight="1" x14ac:dyDescent="0.2">
      <c r="A261" s="92" t="s">
        <v>110</v>
      </c>
      <c r="B261" s="52" t="s">
        <v>111</v>
      </c>
      <c r="C261" s="53" t="s">
        <v>60</v>
      </c>
      <c r="D261" s="54" t="s">
        <v>179</v>
      </c>
      <c r="E261" s="55" t="s">
        <v>58</v>
      </c>
      <c r="F261" s="56" t="s">
        <v>180</v>
      </c>
      <c r="G261" s="57">
        <v>1</v>
      </c>
      <c r="H261" s="53" t="s">
        <v>116</v>
      </c>
      <c r="I261" s="58" t="s">
        <v>117</v>
      </c>
      <c r="J261" s="59">
        <v>3</v>
      </c>
      <c r="K261" s="60">
        <f>996900+135500+3538000+2253600+14500</f>
        <v>6938500</v>
      </c>
      <c r="L261" s="61">
        <f>1150000</f>
        <v>1150000</v>
      </c>
      <c r="M261" s="61">
        <v>0</v>
      </c>
      <c r="N261" s="60">
        <f t="shared" si="93"/>
        <v>8088500</v>
      </c>
      <c r="O261" s="61">
        <v>0</v>
      </c>
      <c r="P261" s="61">
        <v>0</v>
      </c>
      <c r="Q261" s="61">
        <v>0</v>
      </c>
      <c r="R261" s="60">
        <f t="shared" si="94"/>
        <v>8088500</v>
      </c>
      <c r="S261" s="61">
        <f>396191.58+431498.11+537201.96+1048629.69+561637.34+588296.08+621892.32+664238.4+641851.94+993428.47+647559.32</f>
        <v>7132425.21</v>
      </c>
      <c r="T261" s="62">
        <f>S261/R261</f>
        <v>0.8817982580206466</v>
      </c>
      <c r="U261" s="61">
        <f>129602.65+407289.62+468420.81+1085821.77+511243.47+663704.38+666165.38+533515.23+485763.62+800817.38+479679.18</f>
        <v>6232023.4900000002</v>
      </c>
      <c r="V261" s="62">
        <f t="shared" si="73"/>
        <v>0.77047950670705323</v>
      </c>
      <c r="W261" s="61">
        <f>129602.65+347652.88+369786.49+1153256.3+590860.33+671521.18+641714.16+463251.91+550382.54+734406.31+401505.42</f>
        <v>6053940.1699999999</v>
      </c>
      <c r="X261" s="63">
        <f t="shared" si="71"/>
        <v>0.74846265314953331</v>
      </c>
      <c r="Y261" s="64"/>
    </row>
    <row r="262" spans="1:25" s="65" customFormat="1" ht="39" customHeight="1" x14ac:dyDescent="0.2">
      <c r="A262" s="92" t="s">
        <v>110</v>
      </c>
      <c r="B262" s="52" t="s">
        <v>111</v>
      </c>
      <c r="C262" s="53" t="s">
        <v>60</v>
      </c>
      <c r="D262" s="54" t="s">
        <v>179</v>
      </c>
      <c r="E262" s="55" t="s">
        <v>58</v>
      </c>
      <c r="F262" s="56" t="s">
        <v>180</v>
      </c>
      <c r="G262" s="57">
        <v>1</v>
      </c>
      <c r="H262" s="85" t="s">
        <v>63</v>
      </c>
      <c r="I262" s="86" t="s">
        <v>64</v>
      </c>
      <c r="J262" s="59">
        <v>3</v>
      </c>
      <c r="K262" s="60">
        <v>0</v>
      </c>
      <c r="L262" s="61">
        <f>515000</f>
        <v>515000</v>
      </c>
      <c r="M262" s="61">
        <v>0</v>
      </c>
      <c r="N262" s="60">
        <f t="shared" si="93"/>
        <v>515000</v>
      </c>
      <c r="O262" s="61">
        <v>0</v>
      </c>
      <c r="P262" s="61">
        <v>0</v>
      </c>
      <c r="Q262" s="61">
        <v>0</v>
      </c>
      <c r="R262" s="60">
        <f t="shared" si="94"/>
        <v>515000</v>
      </c>
      <c r="S262" s="61">
        <f>150000</f>
        <v>150000</v>
      </c>
      <c r="T262" s="62">
        <f>S262/R262</f>
        <v>0.29126213592233008</v>
      </c>
      <c r="U262" s="61">
        <f>142101.13</f>
        <v>142101.13</v>
      </c>
      <c r="V262" s="62">
        <f t="shared" si="73"/>
        <v>0.27592452427184466</v>
      </c>
      <c r="W262" s="61">
        <f>142101.13</f>
        <v>142101.13</v>
      </c>
      <c r="X262" s="63">
        <f t="shared" si="71"/>
        <v>0.27592452427184466</v>
      </c>
      <c r="Y262" s="64"/>
    </row>
    <row r="263" spans="1:25" s="65" customFormat="1" ht="39" customHeight="1" x14ac:dyDescent="0.2">
      <c r="A263" s="92" t="s">
        <v>110</v>
      </c>
      <c r="B263" s="52" t="s">
        <v>111</v>
      </c>
      <c r="C263" s="53" t="s">
        <v>60</v>
      </c>
      <c r="D263" s="54" t="s">
        <v>179</v>
      </c>
      <c r="E263" s="55" t="s">
        <v>58</v>
      </c>
      <c r="F263" s="56" t="s">
        <v>180</v>
      </c>
      <c r="G263" s="57">
        <v>1</v>
      </c>
      <c r="H263" s="87" t="s">
        <v>65</v>
      </c>
      <c r="I263" s="88" t="s">
        <v>66</v>
      </c>
      <c r="J263" s="59">
        <v>3</v>
      </c>
      <c r="K263" s="60">
        <v>0</v>
      </c>
      <c r="L263" s="61">
        <f>20466.38</f>
        <v>20466.38</v>
      </c>
      <c r="M263" s="61">
        <v>0</v>
      </c>
      <c r="N263" s="60">
        <f t="shared" si="93"/>
        <v>20466.38</v>
      </c>
      <c r="O263" s="61">
        <v>0</v>
      </c>
      <c r="P263" s="61">
        <v>0</v>
      </c>
      <c r="Q263" s="61">
        <v>0</v>
      </c>
      <c r="R263" s="60">
        <f t="shared" si="94"/>
        <v>20466.38</v>
      </c>
      <c r="S263" s="61">
        <f>6570</f>
        <v>6570</v>
      </c>
      <c r="T263" s="62">
        <f>S263/R263</f>
        <v>0.32101426827802471</v>
      </c>
      <c r="U263" s="61">
        <v>0</v>
      </c>
      <c r="V263" s="62">
        <f t="shared" si="73"/>
        <v>0</v>
      </c>
      <c r="W263" s="61">
        <v>0</v>
      </c>
      <c r="X263" s="63">
        <f t="shared" si="71"/>
        <v>0</v>
      </c>
      <c r="Y263" s="64"/>
    </row>
    <row r="264" spans="1:25" s="65" customFormat="1" ht="39" customHeight="1" x14ac:dyDescent="0.2">
      <c r="A264" s="92" t="s">
        <v>110</v>
      </c>
      <c r="B264" s="52" t="s">
        <v>111</v>
      </c>
      <c r="C264" s="53" t="s">
        <v>60</v>
      </c>
      <c r="D264" s="54" t="s">
        <v>179</v>
      </c>
      <c r="E264" s="55" t="s">
        <v>58</v>
      </c>
      <c r="F264" s="56" t="s">
        <v>180</v>
      </c>
      <c r="G264" s="57">
        <v>1</v>
      </c>
      <c r="H264" s="106" t="s">
        <v>162</v>
      </c>
      <c r="I264" s="99" t="s">
        <v>163</v>
      </c>
      <c r="J264" s="59">
        <v>3</v>
      </c>
      <c r="K264" s="60">
        <v>0</v>
      </c>
      <c r="L264" s="61">
        <f>2442</f>
        <v>2442</v>
      </c>
      <c r="M264" s="61">
        <v>0</v>
      </c>
      <c r="N264" s="60">
        <f t="shared" si="93"/>
        <v>2442</v>
      </c>
      <c r="O264" s="61">
        <f>122</f>
        <v>122</v>
      </c>
      <c r="P264" s="61">
        <v>0</v>
      </c>
      <c r="Q264" s="61">
        <v>0</v>
      </c>
      <c r="R264" s="60">
        <f t="shared" si="94"/>
        <v>2320</v>
      </c>
      <c r="S264" s="61">
        <v>0</v>
      </c>
      <c r="T264" s="62">
        <f>S264/R264</f>
        <v>0</v>
      </c>
      <c r="U264" s="61">
        <v>0</v>
      </c>
      <c r="V264" s="62">
        <f t="shared" si="73"/>
        <v>0</v>
      </c>
      <c r="W264" s="61">
        <v>0</v>
      </c>
      <c r="X264" s="63">
        <f t="shared" si="71"/>
        <v>0</v>
      </c>
      <c r="Y264" s="64"/>
    </row>
    <row r="265" spans="1:25" s="42" customFormat="1" ht="9" customHeight="1" x14ac:dyDescent="0.2">
      <c r="A265" s="66"/>
      <c r="B265" s="67"/>
      <c r="C265" s="68"/>
      <c r="D265" s="69"/>
      <c r="E265" s="70"/>
      <c r="F265" s="71"/>
      <c r="G265" s="72"/>
      <c r="H265" s="68"/>
      <c r="I265" s="73"/>
      <c r="J265" s="74"/>
      <c r="K265" s="75"/>
      <c r="L265" s="76"/>
      <c r="M265" s="76"/>
      <c r="N265" s="75"/>
      <c r="O265" s="76"/>
      <c r="P265" s="76"/>
      <c r="Q265" s="76"/>
      <c r="R265" s="75"/>
      <c r="S265" s="76"/>
      <c r="T265" s="77"/>
      <c r="U265" s="76"/>
      <c r="V265" s="77"/>
      <c r="W265" s="76"/>
      <c r="X265" s="78"/>
    </row>
    <row r="266" spans="1:25" s="50" customFormat="1" ht="39" customHeight="1" x14ac:dyDescent="0.2">
      <c r="A266" s="100" t="s">
        <v>110</v>
      </c>
      <c r="B266" s="195" t="s">
        <v>111</v>
      </c>
      <c r="C266" s="196"/>
      <c r="D266" s="80" t="s">
        <v>181</v>
      </c>
      <c r="E266" s="81" t="s">
        <v>58</v>
      </c>
      <c r="F266" s="195" t="s">
        <v>78</v>
      </c>
      <c r="G266" s="197"/>
      <c r="H266" s="197"/>
      <c r="I266" s="197"/>
      <c r="J266" s="196"/>
      <c r="K266" s="82">
        <f>SUM(K267:K272)</f>
        <v>13546276</v>
      </c>
      <c r="L266" s="82">
        <f t="shared" ref="L266:S266" si="97">SUM(L267:L272)</f>
        <v>3870722.9699999997</v>
      </c>
      <c r="M266" s="82">
        <f t="shared" si="97"/>
        <v>0</v>
      </c>
      <c r="N266" s="82">
        <f t="shared" si="97"/>
        <v>17416998.969999999</v>
      </c>
      <c r="O266" s="82">
        <f t="shared" si="97"/>
        <v>646</v>
      </c>
      <c r="P266" s="82">
        <f t="shared" si="97"/>
        <v>0</v>
      </c>
      <c r="Q266" s="82">
        <f t="shared" si="97"/>
        <v>-1367887.84</v>
      </c>
      <c r="R266" s="82">
        <f t="shared" si="97"/>
        <v>16048465.130000001</v>
      </c>
      <c r="S266" s="82">
        <f t="shared" si="97"/>
        <v>12605948.600000001</v>
      </c>
      <c r="T266" s="83">
        <f>S266/R266</f>
        <v>0.78549247531685917</v>
      </c>
      <c r="U266" s="82">
        <f>SUM(U267:U272)</f>
        <v>11184032.139999997</v>
      </c>
      <c r="V266" s="83">
        <f>U266/R266</f>
        <v>0.69689107646146575</v>
      </c>
      <c r="W266" s="82">
        <f>SUM(W267:W272)</f>
        <v>11001413.830000002</v>
      </c>
      <c r="X266" s="84">
        <f>W266/R266</f>
        <v>0.68551190041436705</v>
      </c>
      <c r="Y266" s="49"/>
    </row>
    <row r="267" spans="1:25" s="65" customFormat="1" ht="39" customHeight="1" x14ac:dyDescent="0.2">
      <c r="A267" s="92" t="s">
        <v>110</v>
      </c>
      <c r="B267" s="52" t="s">
        <v>111</v>
      </c>
      <c r="C267" s="53" t="s">
        <v>60</v>
      </c>
      <c r="D267" s="54" t="s">
        <v>181</v>
      </c>
      <c r="E267" s="55" t="s">
        <v>58</v>
      </c>
      <c r="F267" s="56" t="s">
        <v>78</v>
      </c>
      <c r="G267" s="57">
        <v>1</v>
      </c>
      <c r="H267" s="53" t="s">
        <v>61</v>
      </c>
      <c r="I267" s="58" t="s">
        <v>62</v>
      </c>
      <c r="J267" s="59">
        <v>3</v>
      </c>
      <c r="K267" s="60">
        <v>68769</v>
      </c>
      <c r="L267" s="61">
        <v>0</v>
      </c>
      <c r="M267" s="61">
        <v>0</v>
      </c>
      <c r="N267" s="60">
        <f t="shared" si="93"/>
        <v>68769</v>
      </c>
      <c r="O267" s="61">
        <v>0</v>
      </c>
      <c r="P267" s="61">
        <v>0</v>
      </c>
      <c r="Q267" s="61">
        <v>0</v>
      </c>
      <c r="R267" s="60">
        <f t="shared" si="94"/>
        <v>68769</v>
      </c>
      <c r="S267" s="61">
        <v>0</v>
      </c>
      <c r="T267" s="62">
        <f>S267/R267</f>
        <v>0</v>
      </c>
      <c r="U267" s="61">
        <v>0</v>
      </c>
      <c r="V267" s="62">
        <f t="shared" ref="V267:V372" si="98">U267/R267</f>
        <v>0</v>
      </c>
      <c r="W267" s="61">
        <v>0</v>
      </c>
      <c r="X267" s="63">
        <f t="shared" si="71"/>
        <v>0</v>
      </c>
      <c r="Y267" s="64"/>
    </row>
    <row r="268" spans="1:25" s="65" customFormat="1" ht="39" customHeight="1" x14ac:dyDescent="0.2">
      <c r="A268" s="92" t="s">
        <v>110</v>
      </c>
      <c r="B268" s="52" t="s">
        <v>111</v>
      </c>
      <c r="C268" s="53" t="s">
        <v>60</v>
      </c>
      <c r="D268" s="54" t="s">
        <v>181</v>
      </c>
      <c r="E268" s="55" t="s">
        <v>58</v>
      </c>
      <c r="F268" s="56" t="s">
        <v>78</v>
      </c>
      <c r="G268" s="57">
        <v>1</v>
      </c>
      <c r="H268" s="53" t="s">
        <v>116</v>
      </c>
      <c r="I268" s="58" t="s">
        <v>117</v>
      </c>
      <c r="J268" s="59">
        <v>3</v>
      </c>
      <c r="K268" s="60">
        <f>13000+897001+669500+7471000+2904062+1522944</f>
        <v>13477507</v>
      </c>
      <c r="L268" s="61">
        <f>1225000</f>
        <v>1225000</v>
      </c>
      <c r="M268" s="61">
        <v>0</v>
      </c>
      <c r="N268" s="60">
        <f t="shared" si="93"/>
        <v>14702507</v>
      </c>
      <c r="O268" s="61">
        <v>0</v>
      </c>
      <c r="P268" s="61">
        <v>0</v>
      </c>
      <c r="Q268" s="61">
        <f>-121772.1-128390.13-111397.86-124759.52-137721.07-149428.97-155239.1-143537.89-137358.29-158282.91</f>
        <v>-1367887.84</v>
      </c>
      <c r="R268" s="60">
        <f t="shared" si="94"/>
        <v>13334619.16</v>
      </c>
      <c r="S268" s="61">
        <f>794237.55+581148.16+1187989.45+1199737.3+1094185.27+1077342.42+1139320.14+1175396.99+1179425.69+2141691.33+436189.3</f>
        <v>12006663.600000001</v>
      </c>
      <c r="T268" s="62">
        <f>S268/R268</f>
        <v>0.90041293687760648</v>
      </c>
      <c r="U268" s="61">
        <f>181819.51+793892.12+978181.63+1318832.89+1046591.21+1118470.12+1277796.55+1049132.55+996299.15+1538628.12+743824.28</f>
        <v>11043468.129999997</v>
      </c>
      <c r="V268" s="62">
        <f t="shared" si="98"/>
        <v>0.82818024253195077</v>
      </c>
      <c r="W268" s="61">
        <f>181819.51+745490.81+761289.4+1413924.3+1197635.91+1134726.59+1258760.55+975324.58+1021825.79+1516446.99+653605.39</f>
        <v>10860849.820000002</v>
      </c>
      <c r="X268" s="63">
        <f t="shared" si="71"/>
        <v>0.81448518999173292</v>
      </c>
      <c r="Y268" s="64"/>
    </row>
    <row r="269" spans="1:25" s="65" customFormat="1" ht="39" customHeight="1" x14ac:dyDescent="0.2">
      <c r="A269" s="92" t="s">
        <v>110</v>
      </c>
      <c r="B269" s="52" t="s">
        <v>111</v>
      </c>
      <c r="C269" s="53" t="s">
        <v>60</v>
      </c>
      <c r="D269" s="54" t="s">
        <v>181</v>
      </c>
      <c r="E269" s="55" t="s">
        <v>58</v>
      </c>
      <c r="F269" s="56" t="s">
        <v>78</v>
      </c>
      <c r="G269" s="57">
        <v>1</v>
      </c>
      <c r="H269" s="85" t="s">
        <v>63</v>
      </c>
      <c r="I269" s="86" t="s">
        <v>64</v>
      </c>
      <c r="J269" s="59">
        <v>3</v>
      </c>
      <c r="K269" s="60">
        <v>0</v>
      </c>
      <c r="L269" s="61">
        <f>430000</f>
        <v>430000</v>
      </c>
      <c r="M269" s="61">
        <v>0</v>
      </c>
      <c r="N269" s="60">
        <f t="shared" si="93"/>
        <v>430000</v>
      </c>
      <c r="O269" s="61">
        <v>0</v>
      </c>
      <c r="P269" s="61">
        <v>0</v>
      </c>
      <c r="Q269" s="61">
        <v>0</v>
      </c>
      <c r="R269" s="60">
        <f t="shared" si="94"/>
        <v>430000</v>
      </c>
      <c r="S269" s="61">
        <f>166000</f>
        <v>166000</v>
      </c>
      <c r="T269" s="62">
        <v>0</v>
      </c>
      <c r="U269" s="61">
        <f>140564.01</f>
        <v>140564.01</v>
      </c>
      <c r="V269" s="62">
        <v>0</v>
      </c>
      <c r="W269" s="61">
        <f>140564.01</f>
        <v>140564.01</v>
      </c>
      <c r="X269" s="63">
        <v>0</v>
      </c>
      <c r="Y269" s="64"/>
    </row>
    <row r="270" spans="1:25" s="65" customFormat="1" ht="39" customHeight="1" x14ac:dyDescent="0.2">
      <c r="A270" s="92" t="s">
        <v>110</v>
      </c>
      <c r="B270" s="52" t="s">
        <v>111</v>
      </c>
      <c r="C270" s="53" t="s">
        <v>60</v>
      </c>
      <c r="D270" s="54" t="s">
        <v>181</v>
      </c>
      <c r="E270" s="55" t="s">
        <v>58</v>
      </c>
      <c r="F270" s="56" t="s">
        <v>78</v>
      </c>
      <c r="G270" s="57">
        <v>1</v>
      </c>
      <c r="H270" s="87" t="s">
        <v>65</v>
      </c>
      <c r="I270" s="88" t="s">
        <v>66</v>
      </c>
      <c r="J270" s="59">
        <v>3</v>
      </c>
      <c r="K270" s="60">
        <v>0</v>
      </c>
      <c r="L270" s="61">
        <f>402+34063+21373.97+1000000</f>
        <v>1055838.97</v>
      </c>
      <c r="M270" s="61">
        <v>0</v>
      </c>
      <c r="N270" s="60">
        <f t="shared" si="93"/>
        <v>1055838.97</v>
      </c>
      <c r="O270" s="61">
        <f>402</f>
        <v>402</v>
      </c>
      <c r="P270" s="61">
        <v>0</v>
      </c>
      <c r="Q270" s="61">
        <v>0</v>
      </c>
      <c r="R270" s="60">
        <f t="shared" si="94"/>
        <v>1055436.97</v>
      </c>
      <c r="S270" s="61">
        <f>433285</f>
        <v>433285</v>
      </c>
      <c r="T270" s="62">
        <v>0</v>
      </c>
      <c r="U270" s="61">
        <v>0</v>
      </c>
      <c r="V270" s="62">
        <v>0</v>
      </c>
      <c r="W270" s="61">
        <v>0</v>
      </c>
      <c r="X270" s="63">
        <v>0</v>
      </c>
      <c r="Y270" s="64"/>
    </row>
    <row r="271" spans="1:25" s="65" customFormat="1" ht="39" customHeight="1" x14ac:dyDescent="0.2">
      <c r="A271" s="92" t="s">
        <v>110</v>
      </c>
      <c r="B271" s="52" t="s">
        <v>111</v>
      </c>
      <c r="C271" s="53" t="s">
        <v>60</v>
      </c>
      <c r="D271" s="54" t="s">
        <v>181</v>
      </c>
      <c r="E271" s="55" t="s">
        <v>58</v>
      </c>
      <c r="F271" s="56" t="s">
        <v>78</v>
      </c>
      <c r="G271" s="57">
        <v>1</v>
      </c>
      <c r="H271" s="106" t="s">
        <v>118</v>
      </c>
      <c r="I271" s="99" t="s">
        <v>119</v>
      </c>
      <c r="J271" s="59">
        <v>3</v>
      </c>
      <c r="K271" s="60">
        <v>0</v>
      </c>
      <c r="L271" s="61">
        <f>1155000</f>
        <v>1155000</v>
      </c>
      <c r="M271" s="61">
        <v>0</v>
      </c>
      <c r="N271" s="60">
        <f t="shared" si="93"/>
        <v>1155000</v>
      </c>
      <c r="O271" s="61">
        <v>0</v>
      </c>
      <c r="P271" s="61">
        <v>0</v>
      </c>
      <c r="Q271" s="61">
        <v>0</v>
      </c>
      <c r="R271" s="60">
        <f t="shared" si="94"/>
        <v>1155000</v>
      </c>
      <c r="S271" s="61">
        <v>0</v>
      </c>
      <c r="T271" s="62">
        <v>0</v>
      </c>
      <c r="U271" s="61">
        <v>0</v>
      </c>
      <c r="V271" s="62">
        <v>0</v>
      </c>
      <c r="W271" s="61">
        <v>0</v>
      </c>
      <c r="X271" s="63">
        <v>0</v>
      </c>
      <c r="Y271" s="64"/>
    </row>
    <row r="272" spans="1:25" s="65" customFormat="1" ht="39" customHeight="1" x14ac:dyDescent="0.2">
      <c r="A272" s="92" t="s">
        <v>110</v>
      </c>
      <c r="B272" s="52" t="s">
        <v>111</v>
      </c>
      <c r="C272" s="53" t="s">
        <v>60</v>
      </c>
      <c r="D272" s="54" t="s">
        <v>181</v>
      </c>
      <c r="E272" s="55" t="s">
        <v>58</v>
      </c>
      <c r="F272" s="56" t="s">
        <v>78</v>
      </c>
      <c r="G272" s="57">
        <v>1</v>
      </c>
      <c r="H272" s="106" t="s">
        <v>162</v>
      </c>
      <c r="I272" s="99" t="s">
        <v>163</v>
      </c>
      <c r="J272" s="59">
        <v>3</v>
      </c>
      <c r="K272" s="60">
        <v>0</v>
      </c>
      <c r="L272" s="61">
        <f>4884</f>
        <v>4884</v>
      </c>
      <c r="M272" s="61">
        <v>0</v>
      </c>
      <c r="N272" s="60">
        <f t="shared" si="93"/>
        <v>4884</v>
      </c>
      <c r="O272" s="61">
        <f>244</f>
        <v>244</v>
      </c>
      <c r="P272" s="61">
        <v>0</v>
      </c>
      <c r="Q272" s="61">
        <v>0</v>
      </c>
      <c r="R272" s="60">
        <f t="shared" si="94"/>
        <v>4640</v>
      </c>
      <c r="S272" s="61">
        <v>0</v>
      </c>
      <c r="T272" s="62">
        <f t="shared" ref="T272" si="99">S272/R272</f>
        <v>0</v>
      </c>
      <c r="U272" s="61">
        <v>0</v>
      </c>
      <c r="V272" s="62">
        <f t="shared" si="98"/>
        <v>0</v>
      </c>
      <c r="W272" s="61">
        <v>0</v>
      </c>
      <c r="X272" s="63">
        <f t="shared" ref="X272" si="100">W272/R272</f>
        <v>0</v>
      </c>
      <c r="Y272" s="64"/>
    </row>
    <row r="273" spans="1:25" s="42" customFormat="1" ht="9" customHeight="1" x14ac:dyDescent="0.2">
      <c r="A273" s="66"/>
      <c r="B273" s="67"/>
      <c r="C273" s="68"/>
      <c r="D273" s="69"/>
      <c r="E273" s="70"/>
      <c r="F273" s="71"/>
      <c r="G273" s="72"/>
      <c r="H273" s="68"/>
      <c r="I273" s="73"/>
      <c r="J273" s="74"/>
      <c r="K273" s="75"/>
      <c r="L273" s="76"/>
      <c r="M273" s="76"/>
      <c r="N273" s="75"/>
      <c r="O273" s="76"/>
      <c r="P273" s="76"/>
      <c r="Q273" s="76"/>
      <c r="R273" s="75"/>
      <c r="S273" s="76"/>
      <c r="T273" s="77"/>
      <c r="U273" s="76"/>
      <c r="V273" s="77"/>
      <c r="W273" s="76"/>
      <c r="X273" s="78"/>
    </row>
    <row r="274" spans="1:25" s="50" customFormat="1" ht="39" customHeight="1" x14ac:dyDescent="0.2">
      <c r="A274" s="100" t="s">
        <v>110</v>
      </c>
      <c r="B274" s="195" t="s">
        <v>111</v>
      </c>
      <c r="C274" s="196"/>
      <c r="D274" s="80" t="s">
        <v>182</v>
      </c>
      <c r="E274" s="81" t="s">
        <v>58</v>
      </c>
      <c r="F274" s="195" t="s">
        <v>76</v>
      </c>
      <c r="G274" s="197"/>
      <c r="H274" s="197"/>
      <c r="I274" s="197"/>
      <c r="J274" s="196"/>
      <c r="K274" s="82">
        <f>K275</f>
        <v>59133</v>
      </c>
      <c r="L274" s="82">
        <f t="shared" ref="L274:S274" si="101">L275</f>
        <v>0</v>
      </c>
      <c r="M274" s="82">
        <f t="shared" si="101"/>
        <v>0</v>
      </c>
      <c r="N274" s="82">
        <f t="shared" si="101"/>
        <v>59133</v>
      </c>
      <c r="O274" s="82">
        <f t="shared" si="101"/>
        <v>0</v>
      </c>
      <c r="P274" s="82">
        <f t="shared" si="101"/>
        <v>0</v>
      </c>
      <c r="Q274" s="82">
        <f t="shared" si="101"/>
        <v>0</v>
      </c>
      <c r="R274" s="82">
        <f t="shared" si="101"/>
        <v>59133</v>
      </c>
      <c r="S274" s="82">
        <f t="shared" si="101"/>
        <v>6203.2199999999993</v>
      </c>
      <c r="T274" s="83">
        <f>S274/R274</f>
        <v>0.10490284612652832</v>
      </c>
      <c r="U274" s="82">
        <f>U275</f>
        <v>6203.2199999999993</v>
      </c>
      <c r="V274" s="83">
        <f>U274/R274</f>
        <v>0.10490284612652832</v>
      </c>
      <c r="W274" s="82">
        <f>W275</f>
        <v>6203.2199999999993</v>
      </c>
      <c r="X274" s="84">
        <f>W274/R274</f>
        <v>0.10490284612652832</v>
      </c>
      <c r="Y274" s="49"/>
    </row>
    <row r="275" spans="1:25" s="65" customFormat="1" ht="39" customHeight="1" x14ac:dyDescent="0.2">
      <c r="A275" s="92" t="s">
        <v>110</v>
      </c>
      <c r="B275" s="52" t="s">
        <v>111</v>
      </c>
      <c r="C275" s="53" t="s">
        <v>60</v>
      </c>
      <c r="D275" s="54" t="s">
        <v>182</v>
      </c>
      <c r="E275" s="55" t="s">
        <v>58</v>
      </c>
      <c r="F275" s="56" t="s">
        <v>76</v>
      </c>
      <c r="G275" s="57">
        <v>1</v>
      </c>
      <c r="H275" s="53" t="s">
        <v>116</v>
      </c>
      <c r="I275" s="58" t="s">
        <v>117</v>
      </c>
      <c r="J275" s="59">
        <v>3</v>
      </c>
      <c r="K275" s="60">
        <v>59133</v>
      </c>
      <c r="L275" s="61">
        <v>0</v>
      </c>
      <c r="M275" s="61">
        <v>0</v>
      </c>
      <c r="N275" s="60">
        <f t="shared" si="93"/>
        <v>59133</v>
      </c>
      <c r="O275" s="61">
        <v>0</v>
      </c>
      <c r="P275" s="61">
        <v>0</v>
      </c>
      <c r="Q275" s="61">
        <v>0</v>
      </c>
      <c r="R275" s="60">
        <f t="shared" si="94"/>
        <v>59133</v>
      </c>
      <c r="S275" s="61">
        <f>386.66+547.87+504+517.43+540.35+604.55+521.09+684.53+635.62+592.59+668.53</f>
        <v>6203.2199999999993</v>
      </c>
      <c r="T275" s="62">
        <f t="shared" ref="T275:T283" si="102">S275/R275</f>
        <v>0.10490284612652832</v>
      </c>
      <c r="U275" s="61">
        <f>386.66+547.87+504+517.43+540.35+604.55+521.09+684.53+635.62+592.59+668.53</f>
        <v>6203.2199999999993</v>
      </c>
      <c r="V275" s="62">
        <f t="shared" si="98"/>
        <v>0.10490284612652832</v>
      </c>
      <c r="W275" s="61">
        <f>386.66+547.87+504+517.43+540.35+604.55+521.09+684.53+635.62+592.59+668.53</f>
        <v>6203.2199999999993</v>
      </c>
      <c r="X275" s="63">
        <f t="shared" si="71"/>
        <v>0.10490284612652832</v>
      </c>
      <c r="Y275" s="64"/>
    </row>
    <row r="276" spans="1:25" s="42" customFormat="1" ht="9" customHeight="1" x14ac:dyDescent="0.2">
      <c r="A276" s="66"/>
      <c r="B276" s="67"/>
      <c r="C276" s="68"/>
      <c r="D276" s="69"/>
      <c r="E276" s="70"/>
      <c r="F276" s="71"/>
      <c r="G276" s="72"/>
      <c r="H276" s="68"/>
      <c r="I276" s="73"/>
      <c r="J276" s="74"/>
      <c r="K276" s="75"/>
      <c r="L276" s="76"/>
      <c r="M276" s="76"/>
      <c r="N276" s="75"/>
      <c r="O276" s="76"/>
      <c r="P276" s="76"/>
      <c r="Q276" s="76"/>
      <c r="R276" s="75"/>
      <c r="S276" s="76"/>
      <c r="T276" s="77"/>
      <c r="U276" s="76"/>
      <c r="V276" s="77"/>
      <c r="W276" s="76"/>
      <c r="X276" s="78"/>
    </row>
    <row r="277" spans="1:25" s="50" customFormat="1" ht="39" customHeight="1" x14ac:dyDescent="0.2">
      <c r="A277" s="100" t="s">
        <v>110</v>
      </c>
      <c r="B277" s="195" t="s">
        <v>111</v>
      </c>
      <c r="C277" s="196"/>
      <c r="D277" s="80" t="s">
        <v>183</v>
      </c>
      <c r="E277" s="81" t="s">
        <v>58</v>
      </c>
      <c r="F277" s="195" t="s">
        <v>184</v>
      </c>
      <c r="G277" s="197"/>
      <c r="H277" s="197"/>
      <c r="I277" s="197"/>
      <c r="J277" s="196"/>
      <c r="K277" s="82">
        <f>SUM(K278:K280)</f>
        <v>223606</v>
      </c>
      <c r="L277" s="82">
        <f t="shared" ref="L277:S277" si="103">SUM(L278:L280)</f>
        <v>39671</v>
      </c>
      <c r="M277" s="82">
        <f t="shared" si="103"/>
        <v>91000</v>
      </c>
      <c r="N277" s="82">
        <f t="shared" si="103"/>
        <v>172277</v>
      </c>
      <c r="O277" s="82">
        <f t="shared" si="103"/>
        <v>39671</v>
      </c>
      <c r="P277" s="82">
        <f t="shared" si="103"/>
        <v>0</v>
      </c>
      <c r="Q277" s="82">
        <f t="shared" si="103"/>
        <v>0</v>
      </c>
      <c r="R277" s="82">
        <f t="shared" si="103"/>
        <v>132606</v>
      </c>
      <c r="S277" s="82">
        <f t="shared" si="103"/>
        <v>70199.460000000006</v>
      </c>
      <c r="T277" s="83">
        <f>S277/R277</f>
        <v>0.52938373829238505</v>
      </c>
      <c r="U277" s="82">
        <f>SUM(U278:U280)</f>
        <v>65162.229999999989</v>
      </c>
      <c r="V277" s="83">
        <f>U277/R277</f>
        <v>0.4913972972565343</v>
      </c>
      <c r="W277" s="82">
        <f>SUM(W278:W280)</f>
        <v>65162.229999999989</v>
      </c>
      <c r="X277" s="84">
        <f>W277/R277</f>
        <v>0.4913972972565343</v>
      </c>
      <c r="Y277" s="49"/>
    </row>
    <row r="278" spans="1:25" s="65" customFormat="1" ht="39" customHeight="1" x14ac:dyDescent="0.2">
      <c r="A278" s="92" t="s">
        <v>110</v>
      </c>
      <c r="B278" s="52" t="s">
        <v>111</v>
      </c>
      <c r="C278" s="53" t="s">
        <v>60</v>
      </c>
      <c r="D278" s="54" t="s">
        <v>183</v>
      </c>
      <c r="E278" s="55" t="s">
        <v>58</v>
      </c>
      <c r="F278" s="56" t="s">
        <v>184</v>
      </c>
      <c r="G278" s="57">
        <v>1</v>
      </c>
      <c r="H278" s="53" t="s">
        <v>53</v>
      </c>
      <c r="I278" s="58" t="s">
        <v>54</v>
      </c>
      <c r="J278" s="59">
        <v>4</v>
      </c>
      <c r="K278" s="60">
        <v>58739</v>
      </c>
      <c r="L278" s="61">
        <v>0</v>
      </c>
      <c r="M278" s="61">
        <v>0</v>
      </c>
      <c r="N278" s="60">
        <f t="shared" si="93"/>
        <v>58739</v>
      </c>
      <c r="O278" s="61">
        <v>0</v>
      </c>
      <c r="P278" s="61">
        <v>0</v>
      </c>
      <c r="Q278" s="61">
        <v>0</v>
      </c>
      <c r="R278" s="60">
        <f t="shared" si="94"/>
        <v>58739</v>
      </c>
      <c r="S278" s="61">
        <v>0</v>
      </c>
      <c r="T278" s="62">
        <f>S278/R278</f>
        <v>0</v>
      </c>
      <c r="U278" s="61">
        <v>0</v>
      </c>
      <c r="V278" s="62">
        <f t="shared" si="98"/>
        <v>0</v>
      </c>
      <c r="W278" s="61">
        <v>0</v>
      </c>
      <c r="X278" s="63">
        <f t="shared" si="71"/>
        <v>0</v>
      </c>
      <c r="Y278" s="64"/>
    </row>
    <row r="279" spans="1:25" s="65" customFormat="1" ht="39" customHeight="1" x14ac:dyDescent="0.2">
      <c r="A279" s="92" t="s">
        <v>110</v>
      </c>
      <c r="B279" s="52" t="s">
        <v>111</v>
      </c>
      <c r="C279" s="53" t="s">
        <v>60</v>
      </c>
      <c r="D279" s="54" t="s">
        <v>183</v>
      </c>
      <c r="E279" s="55" t="s">
        <v>58</v>
      </c>
      <c r="F279" s="56" t="s">
        <v>184</v>
      </c>
      <c r="G279" s="57">
        <v>1</v>
      </c>
      <c r="H279" s="53" t="s">
        <v>116</v>
      </c>
      <c r="I279" s="58" t="s">
        <v>117</v>
      </c>
      <c r="J279" s="59">
        <v>3</v>
      </c>
      <c r="K279" s="60">
        <f>25767+600+65900+21100+51500</f>
        <v>164867</v>
      </c>
      <c r="L279" s="61">
        <v>0</v>
      </c>
      <c r="M279" s="61">
        <f>91000</f>
        <v>91000</v>
      </c>
      <c r="N279" s="60">
        <f t="shared" si="93"/>
        <v>73867</v>
      </c>
      <c r="O279" s="61">
        <v>0</v>
      </c>
      <c r="P279" s="61">
        <v>0</v>
      </c>
      <c r="Q279" s="61">
        <v>0</v>
      </c>
      <c r="R279" s="60">
        <f t="shared" si="94"/>
        <v>73867</v>
      </c>
      <c r="S279" s="61">
        <f>20239.79+2076.65+39705.17+5933.74-841.86+5973.42-2887.45</f>
        <v>70199.460000000006</v>
      </c>
      <c r="T279" s="62">
        <f>S279/R279</f>
        <v>0.95034941178063281</v>
      </c>
      <c r="U279" s="61">
        <f>15202.56+2076.65+39705.17+5500-1668.82+1260.7+5970.45-2884.48</f>
        <v>65162.229999999989</v>
      </c>
      <c r="V279" s="62">
        <f t="shared" si="98"/>
        <v>0.88215617258044854</v>
      </c>
      <c r="W279" s="61">
        <f>15202.56+2076.65+39705.17+5500-1668.82+1260.7+5970.45-2884.48</f>
        <v>65162.229999999989</v>
      </c>
      <c r="X279" s="63">
        <f t="shared" si="71"/>
        <v>0.88215617258044854</v>
      </c>
      <c r="Y279" s="64"/>
    </row>
    <row r="280" spans="1:25" s="65" customFormat="1" ht="39" customHeight="1" x14ac:dyDescent="0.2">
      <c r="A280" s="92" t="s">
        <v>110</v>
      </c>
      <c r="B280" s="52" t="s">
        <v>111</v>
      </c>
      <c r="C280" s="53" t="s">
        <v>60</v>
      </c>
      <c r="D280" s="54" t="s">
        <v>183</v>
      </c>
      <c r="E280" s="55" t="s">
        <v>58</v>
      </c>
      <c r="F280" s="56" t="s">
        <v>184</v>
      </c>
      <c r="G280" s="57">
        <v>1</v>
      </c>
      <c r="H280" s="85" t="s">
        <v>63</v>
      </c>
      <c r="I280" s="86" t="s">
        <v>64</v>
      </c>
      <c r="J280" s="59">
        <v>3</v>
      </c>
      <c r="K280" s="60">
        <v>0</v>
      </c>
      <c r="L280" s="61">
        <f>39671</f>
        <v>39671</v>
      </c>
      <c r="M280" s="61">
        <v>0</v>
      </c>
      <c r="N280" s="60">
        <f t="shared" si="93"/>
        <v>39671</v>
      </c>
      <c r="O280" s="61">
        <f>39671</f>
        <v>39671</v>
      </c>
      <c r="P280" s="61">
        <v>0</v>
      </c>
      <c r="Q280" s="61">
        <v>0</v>
      </c>
      <c r="R280" s="60">
        <f t="shared" si="94"/>
        <v>0</v>
      </c>
      <c r="S280" s="61">
        <v>0</v>
      </c>
      <c r="T280" s="62">
        <v>0</v>
      </c>
      <c r="U280" s="61">
        <v>0</v>
      </c>
      <c r="V280" s="62">
        <v>0</v>
      </c>
      <c r="W280" s="61">
        <v>0</v>
      </c>
      <c r="X280" s="63">
        <v>0</v>
      </c>
      <c r="Y280" s="64"/>
    </row>
    <row r="281" spans="1:25" s="42" customFormat="1" ht="9" customHeight="1" x14ac:dyDescent="0.2">
      <c r="A281" s="66"/>
      <c r="B281" s="67"/>
      <c r="C281" s="68"/>
      <c r="D281" s="69"/>
      <c r="E281" s="70"/>
      <c r="F281" s="71"/>
      <c r="G281" s="72"/>
      <c r="H281" s="68"/>
      <c r="I281" s="73"/>
      <c r="J281" s="74"/>
      <c r="K281" s="75"/>
      <c r="L281" s="76"/>
      <c r="M281" s="76"/>
      <c r="N281" s="75"/>
      <c r="O281" s="76"/>
      <c r="P281" s="76"/>
      <c r="Q281" s="76"/>
      <c r="R281" s="75"/>
      <c r="S281" s="76"/>
      <c r="T281" s="77"/>
      <c r="U281" s="76"/>
      <c r="V281" s="77"/>
      <c r="W281" s="76"/>
      <c r="X281" s="78"/>
    </row>
    <row r="282" spans="1:25" s="50" customFormat="1" ht="39" customHeight="1" x14ac:dyDescent="0.2">
      <c r="A282" s="100" t="s">
        <v>110</v>
      </c>
      <c r="B282" s="195" t="s">
        <v>111</v>
      </c>
      <c r="C282" s="196"/>
      <c r="D282" s="80" t="s">
        <v>185</v>
      </c>
      <c r="E282" s="81" t="s">
        <v>140</v>
      </c>
      <c r="F282" s="195" t="s">
        <v>186</v>
      </c>
      <c r="G282" s="197"/>
      <c r="H282" s="197"/>
      <c r="I282" s="197"/>
      <c r="J282" s="196"/>
      <c r="K282" s="82">
        <f>K283</f>
        <v>180922</v>
      </c>
      <c r="L282" s="82">
        <f t="shared" ref="L282:S282" si="104">L283</f>
        <v>165000</v>
      </c>
      <c r="M282" s="82">
        <f t="shared" si="104"/>
        <v>0</v>
      </c>
      <c r="N282" s="82">
        <f t="shared" si="104"/>
        <v>345922</v>
      </c>
      <c r="O282" s="82">
        <f t="shared" si="104"/>
        <v>0</v>
      </c>
      <c r="P282" s="82">
        <f t="shared" si="104"/>
        <v>0</v>
      </c>
      <c r="Q282" s="82">
        <f t="shared" si="104"/>
        <v>0</v>
      </c>
      <c r="R282" s="82">
        <f t="shared" si="104"/>
        <v>345922</v>
      </c>
      <c r="S282" s="82">
        <f t="shared" si="104"/>
        <v>155048.94999999998</v>
      </c>
      <c r="T282" s="83">
        <f>S282/R282</f>
        <v>0.44821939628008622</v>
      </c>
      <c r="U282" s="82">
        <f>U283</f>
        <v>149530.52000000002</v>
      </c>
      <c r="V282" s="83">
        <f>U282/R282</f>
        <v>0.4322665803273571</v>
      </c>
      <c r="W282" s="82">
        <f>W283</f>
        <v>149530.52000000002</v>
      </c>
      <c r="X282" s="84">
        <f>W282/R282</f>
        <v>0.4322665803273571</v>
      </c>
      <c r="Y282" s="49"/>
    </row>
    <row r="283" spans="1:25" s="65" customFormat="1" ht="39" customHeight="1" x14ac:dyDescent="0.2">
      <c r="A283" s="92" t="s">
        <v>110</v>
      </c>
      <c r="B283" s="52" t="s">
        <v>111</v>
      </c>
      <c r="C283" s="53" t="s">
        <v>187</v>
      </c>
      <c r="D283" s="54" t="s">
        <v>185</v>
      </c>
      <c r="E283" s="55" t="s">
        <v>140</v>
      </c>
      <c r="F283" s="56" t="s">
        <v>186</v>
      </c>
      <c r="G283" s="57">
        <v>1</v>
      </c>
      <c r="H283" s="53" t="s">
        <v>116</v>
      </c>
      <c r="I283" s="58" t="s">
        <v>117</v>
      </c>
      <c r="J283" s="53" t="s">
        <v>148</v>
      </c>
      <c r="K283" s="60">
        <f>30000+60000+90922</f>
        <v>180922</v>
      </c>
      <c r="L283" s="61">
        <f>165000</f>
        <v>165000</v>
      </c>
      <c r="M283" s="61">
        <v>0</v>
      </c>
      <c r="N283" s="60">
        <f t="shared" si="93"/>
        <v>345922</v>
      </c>
      <c r="O283" s="61">
        <v>0</v>
      </c>
      <c r="P283" s="61">
        <v>0</v>
      </c>
      <c r="Q283" s="61">
        <v>0</v>
      </c>
      <c r="R283" s="60">
        <f t="shared" si="94"/>
        <v>345922</v>
      </c>
      <c r="S283" s="61">
        <f>13191.9+8043.25+9650+100+60084.07+5611.14+30940+4700+6100+7408.59+9220</f>
        <v>155048.94999999998</v>
      </c>
      <c r="T283" s="62">
        <f t="shared" si="102"/>
        <v>0.44821939628008622</v>
      </c>
      <c r="U283" s="61">
        <f>13191.9+4693.25+11222.28+1411.14+58752.98+5611.14+32280.05+4608.59+1311.14+11839.46+4608.59</f>
        <v>149530.52000000002</v>
      </c>
      <c r="V283" s="62">
        <f t="shared" si="98"/>
        <v>0.4322665803273571</v>
      </c>
      <c r="W283" s="61">
        <f>13191.9+393.25+11222.28+5711.14+58752.98+5611.14+32280.05+4608.59+1311.14+11839.46+4608.59</f>
        <v>149530.52000000002</v>
      </c>
      <c r="X283" s="63">
        <f t="shared" si="71"/>
        <v>0.4322665803273571</v>
      </c>
      <c r="Y283" s="64"/>
    </row>
    <row r="284" spans="1:25" s="42" customFormat="1" ht="9" customHeight="1" x14ac:dyDescent="0.2">
      <c r="A284" s="66"/>
      <c r="B284" s="67"/>
      <c r="C284" s="68"/>
      <c r="D284" s="69"/>
      <c r="E284" s="70"/>
      <c r="F284" s="71"/>
      <c r="G284" s="72"/>
      <c r="H284" s="68"/>
      <c r="I284" s="73"/>
      <c r="J284" s="74"/>
      <c r="K284" s="75"/>
      <c r="L284" s="76"/>
      <c r="M284" s="76"/>
      <c r="N284" s="75"/>
      <c r="O284" s="76"/>
      <c r="P284" s="76"/>
      <c r="Q284" s="76"/>
      <c r="R284" s="75"/>
      <c r="S284" s="76"/>
      <c r="T284" s="77"/>
      <c r="U284" s="76"/>
      <c r="V284" s="77"/>
      <c r="W284" s="76"/>
      <c r="X284" s="78"/>
    </row>
    <row r="285" spans="1:25" s="50" customFormat="1" ht="39" customHeight="1" x14ac:dyDescent="0.2">
      <c r="A285" s="100" t="s">
        <v>110</v>
      </c>
      <c r="B285" s="195" t="s">
        <v>111</v>
      </c>
      <c r="C285" s="196"/>
      <c r="D285" s="80" t="s">
        <v>188</v>
      </c>
      <c r="E285" s="81" t="s">
        <v>140</v>
      </c>
      <c r="F285" s="195" t="s">
        <v>189</v>
      </c>
      <c r="G285" s="197"/>
      <c r="H285" s="197"/>
      <c r="I285" s="197"/>
      <c r="J285" s="196"/>
      <c r="K285" s="82">
        <f>SUM(K286:K287)</f>
        <v>3822815</v>
      </c>
      <c r="L285" s="82">
        <f t="shared" ref="L285:S285" si="105">SUM(L286:L287)</f>
        <v>1300000</v>
      </c>
      <c r="M285" s="82">
        <f t="shared" si="105"/>
        <v>0</v>
      </c>
      <c r="N285" s="82">
        <f t="shared" si="105"/>
        <v>5122815</v>
      </c>
      <c r="O285" s="82">
        <f t="shared" si="105"/>
        <v>0</v>
      </c>
      <c r="P285" s="82">
        <f t="shared" si="105"/>
        <v>0</v>
      </c>
      <c r="Q285" s="82">
        <f t="shared" si="105"/>
        <v>0</v>
      </c>
      <c r="R285" s="82">
        <f t="shared" si="105"/>
        <v>5122815</v>
      </c>
      <c r="S285" s="82">
        <f t="shared" si="105"/>
        <v>3775867.3300000005</v>
      </c>
      <c r="T285" s="83">
        <f>S285/R285</f>
        <v>0.73706884398519179</v>
      </c>
      <c r="U285" s="82">
        <f>SUM(U286:U287)</f>
        <v>3770635.29</v>
      </c>
      <c r="V285" s="83">
        <f>U285/R285</f>
        <v>0.7360475226999218</v>
      </c>
      <c r="W285" s="82">
        <f>SUM(W286:W287)</f>
        <v>3666900.97</v>
      </c>
      <c r="X285" s="84">
        <f>W285/R285</f>
        <v>0.71579804658181101</v>
      </c>
      <c r="Y285" s="49"/>
    </row>
    <row r="286" spans="1:25" s="65" customFormat="1" ht="39" customHeight="1" x14ac:dyDescent="0.2">
      <c r="A286" s="92" t="s">
        <v>110</v>
      </c>
      <c r="B286" s="52" t="s">
        <v>111</v>
      </c>
      <c r="C286" s="53" t="s">
        <v>187</v>
      </c>
      <c r="D286" s="54" t="s">
        <v>188</v>
      </c>
      <c r="E286" s="55" t="s">
        <v>140</v>
      </c>
      <c r="F286" s="56" t="s">
        <v>189</v>
      </c>
      <c r="G286" s="57">
        <v>1</v>
      </c>
      <c r="H286" s="53" t="s">
        <v>53</v>
      </c>
      <c r="I286" s="58" t="s">
        <v>54</v>
      </c>
      <c r="J286" s="59">
        <v>4</v>
      </c>
      <c r="K286" s="60">
        <v>150000</v>
      </c>
      <c r="L286" s="61">
        <v>0</v>
      </c>
      <c r="M286" s="61">
        <v>0</v>
      </c>
      <c r="N286" s="60">
        <f t="shared" si="93"/>
        <v>150000</v>
      </c>
      <c r="O286" s="61">
        <v>0</v>
      </c>
      <c r="P286" s="61">
        <v>0</v>
      </c>
      <c r="Q286" s="61">
        <v>0</v>
      </c>
      <c r="R286" s="60">
        <f t="shared" si="94"/>
        <v>150000</v>
      </c>
      <c r="S286" s="61">
        <v>0</v>
      </c>
      <c r="T286" s="62">
        <f>S286/R286</f>
        <v>0</v>
      </c>
      <c r="U286" s="61">
        <v>0</v>
      </c>
      <c r="V286" s="62">
        <f t="shared" si="98"/>
        <v>0</v>
      </c>
      <c r="W286" s="61">
        <v>0</v>
      </c>
      <c r="X286" s="63">
        <f t="shared" si="71"/>
        <v>0</v>
      </c>
      <c r="Y286" s="64"/>
    </row>
    <row r="287" spans="1:25" s="65" customFormat="1" ht="39" customHeight="1" x14ac:dyDescent="0.2">
      <c r="A287" s="92" t="s">
        <v>110</v>
      </c>
      <c r="B287" s="52" t="s">
        <v>111</v>
      </c>
      <c r="C287" s="53" t="s">
        <v>187</v>
      </c>
      <c r="D287" s="54" t="s">
        <v>188</v>
      </c>
      <c r="E287" s="55" t="s">
        <v>140</v>
      </c>
      <c r="F287" s="56" t="s">
        <v>189</v>
      </c>
      <c r="G287" s="57">
        <v>1</v>
      </c>
      <c r="H287" s="53" t="s">
        <v>116</v>
      </c>
      <c r="I287" s="58" t="s">
        <v>117</v>
      </c>
      <c r="J287" s="59">
        <v>3</v>
      </c>
      <c r="K287" s="60">
        <f>20000+3652815</f>
        <v>3672815</v>
      </c>
      <c r="L287" s="61">
        <f>1300000</f>
        <v>1300000</v>
      </c>
      <c r="M287" s="61">
        <v>0</v>
      </c>
      <c r="N287" s="60">
        <f t="shared" si="93"/>
        <v>4972815</v>
      </c>
      <c r="O287" s="61">
        <v>0</v>
      </c>
      <c r="P287" s="61">
        <v>0</v>
      </c>
      <c r="Q287" s="61">
        <v>0</v>
      </c>
      <c r="R287" s="60">
        <f t="shared" si="94"/>
        <v>4972815</v>
      </c>
      <c r="S287" s="61">
        <f>510100+5600+92851.2+527691.8+474579.76+916678.52+457447.75+355331.27+323100+7348.66+105138.37</f>
        <v>3775867.3300000005</v>
      </c>
      <c r="T287" s="62">
        <f>S287/R287</f>
        <v>0.75930178983131291</v>
      </c>
      <c r="U287" s="61">
        <f>44100+4674.33+466708.91+617831.21+471528.29+348764.27+1027554.67+353058.16+325621.87+7059.26+103734.32</f>
        <v>3770635.29</v>
      </c>
      <c r="V287" s="62">
        <f t="shared" si="98"/>
        <v>0.75824966140908123</v>
      </c>
      <c r="W287" s="61">
        <f>44268+465555.03+521248.48+573771.23+348764.27+985129.07+303058.16+196044.62+229062.11</f>
        <v>3666900.97</v>
      </c>
      <c r="X287" s="63">
        <f t="shared" si="71"/>
        <v>0.73738938005938293</v>
      </c>
      <c r="Y287" s="64"/>
    </row>
    <row r="288" spans="1:25" s="42" customFormat="1" ht="9" customHeight="1" x14ac:dyDescent="0.2">
      <c r="A288" s="66"/>
      <c r="B288" s="67"/>
      <c r="C288" s="68"/>
      <c r="D288" s="69"/>
      <c r="E288" s="70"/>
      <c r="F288" s="71"/>
      <c r="G288" s="72"/>
      <c r="H288" s="68"/>
      <c r="I288" s="73"/>
      <c r="J288" s="74"/>
      <c r="K288" s="75"/>
      <c r="L288" s="76"/>
      <c r="M288" s="76"/>
      <c r="N288" s="75"/>
      <c r="O288" s="76"/>
      <c r="P288" s="76"/>
      <c r="Q288" s="76"/>
      <c r="R288" s="75"/>
      <c r="S288" s="76"/>
      <c r="T288" s="77"/>
      <c r="U288" s="76"/>
      <c r="V288" s="77"/>
      <c r="W288" s="76"/>
      <c r="X288" s="78"/>
    </row>
    <row r="289" spans="1:25" s="50" customFormat="1" ht="39" customHeight="1" x14ac:dyDescent="0.2">
      <c r="A289" s="100" t="s">
        <v>110</v>
      </c>
      <c r="B289" s="195" t="s">
        <v>111</v>
      </c>
      <c r="C289" s="196"/>
      <c r="D289" s="80" t="s">
        <v>190</v>
      </c>
      <c r="E289" s="81" t="s">
        <v>140</v>
      </c>
      <c r="F289" s="195" t="s">
        <v>191</v>
      </c>
      <c r="G289" s="197"/>
      <c r="H289" s="197"/>
      <c r="I289" s="197"/>
      <c r="J289" s="196"/>
      <c r="K289" s="82">
        <f>SUM(K290:K298)</f>
        <v>18831340</v>
      </c>
      <c r="L289" s="82">
        <f t="shared" ref="L289:S289" si="106">SUM(L290:L298)</f>
        <v>8882735.2899999991</v>
      </c>
      <c r="M289" s="82">
        <f t="shared" si="106"/>
        <v>3984192</v>
      </c>
      <c r="N289" s="82">
        <f t="shared" si="106"/>
        <v>23729883.289999999</v>
      </c>
      <c r="O289" s="82">
        <f t="shared" si="106"/>
        <v>963124.95</v>
      </c>
      <c r="P289" s="82">
        <f t="shared" si="106"/>
        <v>0</v>
      </c>
      <c r="Q289" s="82">
        <f t="shared" si="106"/>
        <v>0</v>
      </c>
      <c r="R289" s="82">
        <f t="shared" si="106"/>
        <v>22766758.34</v>
      </c>
      <c r="S289" s="82">
        <f t="shared" si="106"/>
        <v>12905109.649999999</v>
      </c>
      <c r="T289" s="83">
        <f t="shared" ref="T289:T296" si="107">S289/R289</f>
        <v>0.56684001548548957</v>
      </c>
      <c r="U289" s="82">
        <f>SUM(U290:U298)</f>
        <v>10656886.16</v>
      </c>
      <c r="V289" s="83">
        <f>U289/R289</f>
        <v>0.46808974737858972</v>
      </c>
      <c r="W289" s="82">
        <f>SUM(W290:W298)</f>
        <v>10193845.549999999</v>
      </c>
      <c r="X289" s="84">
        <f>W289/R289</f>
        <v>0.44775129589221963</v>
      </c>
      <c r="Y289" s="49"/>
    </row>
    <row r="290" spans="1:25" s="65" customFormat="1" ht="39" customHeight="1" x14ac:dyDescent="0.2">
      <c r="A290" s="92" t="s">
        <v>110</v>
      </c>
      <c r="B290" s="52" t="s">
        <v>111</v>
      </c>
      <c r="C290" s="53" t="s">
        <v>187</v>
      </c>
      <c r="D290" s="54" t="s">
        <v>190</v>
      </c>
      <c r="E290" s="55" t="s">
        <v>140</v>
      </c>
      <c r="F290" s="56" t="s">
        <v>191</v>
      </c>
      <c r="G290" s="57">
        <v>1</v>
      </c>
      <c r="H290" s="53" t="s">
        <v>53</v>
      </c>
      <c r="I290" s="58" t="s">
        <v>54</v>
      </c>
      <c r="J290" s="59">
        <v>3</v>
      </c>
      <c r="K290" s="60">
        <v>1000000</v>
      </c>
      <c r="L290" s="61">
        <f>378357</f>
        <v>378357</v>
      </c>
      <c r="M290" s="61">
        <v>0</v>
      </c>
      <c r="N290" s="60">
        <f t="shared" si="93"/>
        <v>1378357</v>
      </c>
      <c r="O290" s="61">
        <v>0</v>
      </c>
      <c r="P290" s="61">
        <v>0</v>
      </c>
      <c r="Q290" s="61">
        <v>0</v>
      </c>
      <c r="R290" s="60">
        <f t="shared" si="94"/>
        <v>1378357</v>
      </c>
      <c r="S290" s="61">
        <f>30000+99765.24+50000+50000+100000</f>
        <v>329765.24</v>
      </c>
      <c r="T290" s="62">
        <f t="shared" si="107"/>
        <v>0.23924515927296047</v>
      </c>
      <c r="U290" s="61">
        <f>29859.14+99530.48+49765.24+49765.24+49765.24</f>
        <v>278685.33999999997</v>
      </c>
      <c r="V290" s="62">
        <f t="shared" si="98"/>
        <v>0.20218661783558248</v>
      </c>
      <c r="W290" s="61">
        <f>29859.14+99530.48+49765.24+49765.24+49765.24</f>
        <v>278685.33999999997</v>
      </c>
      <c r="X290" s="63">
        <f t="shared" si="71"/>
        <v>0.20218661783558248</v>
      </c>
      <c r="Y290" s="64"/>
    </row>
    <row r="291" spans="1:25" s="65" customFormat="1" ht="39" customHeight="1" x14ac:dyDescent="0.2">
      <c r="A291" s="92" t="s">
        <v>110</v>
      </c>
      <c r="B291" s="52" t="s">
        <v>111</v>
      </c>
      <c r="C291" s="53" t="s">
        <v>187</v>
      </c>
      <c r="D291" s="54" t="s">
        <v>190</v>
      </c>
      <c r="E291" s="55" t="s">
        <v>140</v>
      </c>
      <c r="F291" s="56" t="s">
        <v>191</v>
      </c>
      <c r="G291" s="57">
        <v>1</v>
      </c>
      <c r="H291" s="53" t="s">
        <v>53</v>
      </c>
      <c r="I291" s="58" t="s">
        <v>54</v>
      </c>
      <c r="J291" s="59">
        <v>4</v>
      </c>
      <c r="K291" s="60">
        <v>500000</v>
      </c>
      <c r="L291" s="61">
        <f>80000</f>
        <v>80000</v>
      </c>
      <c r="M291" s="61">
        <f>299192</f>
        <v>299192</v>
      </c>
      <c r="N291" s="60">
        <f t="shared" si="93"/>
        <v>280808</v>
      </c>
      <c r="O291" s="61">
        <f>299192-219192</f>
        <v>80000</v>
      </c>
      <c r="P291" s="61">
        <v>0</v>
      </c>
      <c r="Q291" s="61">
        <v>0</v>
      </c>
      <c r="R291" s="60">
        <f t="shared" si="94"/>
        <v>200808</v>
      </c>
      <c r="S291" s="61">
        <f>91000+109808</f>
        <v>200808</v>
      </c>
      <c r="T291" s="62">
        <f t="shared" si="107"/>
        <v>1</v>
      </c>
      <c r="U291" s="61">
        <f>91000+82412</f>
        <v>173412</v>
      </c>
      <c r="V291" s="62">
        <f>U291/R291</f>
        <v>0.86357117246324844</v>
      </c>
      <c r="W291" s="61">
        <f>91000+82412</f>
        <v>173412</v>
      </c>
      <c r="X291" s="63">
        <f t="shared" si="71"/>
        <v>0.86357117246324844</v>
      </c>
      <c r="Y291" s="64"/>
    </row>
    <row r="292" spans="1:25" s="65" customFormat="1" ht="39" customHeight="1" x14ac:dyDescent="0.2">
      <c r="A292" s="92" t="s">
        <v>110</v>
      </c>
      <c r="B292" s="52" t="s">
        <v>111</v>
      </c>
      <c r="C292" s="53" t="s">
        <v>187</v>
      </c>
      <c r="D292" s="54" t="s">
        <v>190</v>
      </c>
      <c r="E292" s="55" t="s">
        <v>140</v>
      </c>
      <c r="F292" s="56" t="s">
        <v>191</v>
      </c>
      <c r="G292" s="57">
        <v>1</v>
      </c>
      <c r="H292" s="53" t="s">
        <v>114</v>
      </c>
      <c r="I292" s="58" t="s">
        <v>115</v>
      </c>
      <c r="J292" s="59">
        <v>3</v>
      </c>
      <c r="K292" s="60">
        <v>0</v>
      </c>
      <c r="L292" s="61">
        <f>89750</f>
        <v>89750</v>
      </c>
      <c r="M292" s="61">
        <v>0</v>
      </c>
      <c r="N292" s="60">
        <f t="shared" si="93"/>
        <v>89750</v>
      </c>
      <c r="O292" s="61">
        <v>0</v>
      </c>
      <c r="P292" s="61">
        <v>0</v>
      </c>
      <c r="Q292" s="61">
        <v>0</v>
      </c>
      <c r="R292" s="60">
        <f t="shared" si="94"/>
        <v>89750</v>
      </c>
      <c r="S292" s="61">
        <v>0</v>
      </c>
      <c r="T292" s="62">
        <f t="shared" si="107"/>
        <v>0</v>
      </c>
      <c r="U292" s="61">
        <v>0</v>
      </c>
      <c r="V292" s="62">
        <f>U292/R292</f>
        <v>0</v>
      </c>
      <c r="W292" s="61">
        <v>0</v>
      </c>
      <c r="X292" s="63">
        <f t="shared" si="71"/>
        <v>0</v>
      </c>
      <c r="Y292" s="64"/>
    </row>
    <row r="293" spans="1:25" s="65" customFormat="1" ht="39" customHeight="1" x14ac:dyDescent="0.2">
      <c r="A293" s="92" t="s">
        <v>110</v>
      </c>
      <c r="B293" s="52" t="s">
        <v>111</v>
      </c>
      <c r="C293" s="53" t="s">
        <v>187</v>
      </c>
      <c r="D293" s="54" t="s">
        <v>190</v>
      </c>
      <c r="E293" s="55" t="s">
        <v>140</v>
      </c>
      <c r="F293" s="56" t="s">
        <v>191</v>
      </c>
      <c r="G293" s="57">
        <v>1</v>
      </c>
      <c r="H293" s="53" t="s">
        <v>114</v>
      </c>
      <c r="I293" s="58" t="s">
        <v>115</v>
      </c>
      <c r="J293" s="59">
        <v>4</v>
      </c>
      <c r="K293" s="60">
        <v>0</v>
      </c>
      <c r="L293" s="61">
        <f>4218025.29</f>
        <v>4218025.29</v>
      </c>
      <c r="M293" s="61">
        <v>0</v>
      </c>
      <c r="N293" s="60">
        <f t="shared" si="93"/>
        <v>4218025.29</v>
      </c>
      <c r="O293" s="61">
        <v>0</v>
      </c>
      <c r="P293" s="61">
        <v>0</v>
      </c>
      <c r="Q293" s="61">
        <v>0</v>
      </c>
      <c r="R293" s="60">
        <f t="shared" si="94"/>
        <v>4218025.29</v>
      </c>
      <c r="S293" s="61">
        <v>0</v>
      </c>
      <c r="T293" s="62">
        <f t="shared" si="107"/>
        <v>0</v>
      </c>
      <c r="U293" s="61">
        <v>0</v>
      </c>
      <c r="V293" s="62">
        <f>U293/R293</f>
        <v>0</v>
      </c>
      <c r="W293" s="61">
        <v>0</v>
      </c>
      <c r="X293" s="63">
        <f t="shared" si="71"/>
        <v>0</v>
      </c>
      <c r="Y293" s="64"/>
    </row>
    <row r="294" spans="1:25" s="65" customFormat="1" ht="39" customHeight="1" x14ac:dyDescent="0.2">
      <c r="A294" s="92" t="s">
        <v>110</v>
      </c>
      <c r="B294" s="52" t="s">
        <v>111</v>
      </c>
      <c r="C294" s="53" t="s">
        <v>187</v>
      </c>
      <c r="D294" s="54" t="s">
        <v>190</v>
      </c>
      <c r="E294" s="55" t="s">
        <v>140</v>
      </c>
      <c r="F294" s="56" t="s">
        <v>191</v>
      </c>
      <c r="G294" s="57">
        <v>1</v>
      </c>
      <c r="H294" s="53" t="s">
        <v>116</v>
      </c>
      <c r="I294" s="58" t="s">
        <v>117</v>
      </c>
      <c r="J294" s="59">
        <v>3</v>
      </c>
      <c r="K294" s="60">
        <f>120000+20000+20000+999239+16008730</f>
        <v>17167969</v>
      </c>
      <c r="L294" s="61">
        <v>0</v>
      </c>
      <c r="M294" s="61">
        <f>50000+3635000</f>
        <v>3685000</v>
      </c>
      <c r="N294" s="60">
        <f t="shared" si="93"/>
        <v>13482969</v>
      </c>
      <c r="O294" s="61">
        <f>52104</f>
        <v>52104</v>
      </c>
      <c r="P294" s="61">
        <v>0</v>
      </c>
      <c r="Q294" s="61">
        <v>0</v>
      </c>
      <c r="R294" s="60">
        <f t="shared" si="94"/>
        <v>13430865</v>
      </c>
      <c r="S294" s="61">
        <f>521112.98+1091904.08+601696.67+173862.57+772267.52+512084.32+518723.98+745254.16+1193813.87+642206.17+2241484.04</f>
        <v>9014410.3599999994</v>
      </c>
      <c r="T294" s="62">
        <f t="shared" si="107"/>
        <v>0.67117124325201682</v>
      </c>
      <c r="U294" s="61">
        <f>124343.33+884543.03+605516.05+215220.35+322305.8+970954.7+551705.61+223546.82+1396778.25+436943.65+1427201.18</f>
        <v>7159058.7699999996</v>
      </c>
      <c r="V294" s="62">
        <f t="shared" si="98"/>
        <v>0.53303035731503512</v>
      </c>
      <c r="W294" s="61">
        <f>84674.85+534111.51+546122.33+657003.11+330016.76+932579.13+590081.18+48949.53+1129781.06+831804.42+1010894.28</f>
        <v>6696018.1599999992</v>
      </c>
      <c r="X294" s="63">
        <f t="shared" si="71"/>
        <v>0.49855449816523351</v>
      </c>
      <c r="Y294" s="64"/>
    </row>
    <row r="295" spans="1:25" s="65" customFormat="1" ht="39" customHeight="1" x14ac:dyDescent="0.2">
      <c r="A295" s="92" t="s">
        <v>110</v>
      </c>
      <c r="B295" s="52" t="s">
        <v>111</v>
      </c>
      <c r="C295" s="53" t="s">
        <v>187</v>
      </c>
      <c r="D295" s="54" t="s">
        <v>190</v>
      </c>
      <c r="E295" s="55" t="s">
        <v>140</v>
      </c>
      <c r="F295" s="56" t="s">
        <v>191</v>
      </c>
      <c r="G295" s="57">
        <v>1</v>
      </c>
      <c r="H295" s="53" t="s">
        <v>116</v>
      </c>
      <c r="I295" s="58" t="s">
        <v>117</v>
      </c>
      <c r="J295" s="59">
        <v>4</v>
      </c>
      <c r="K295" s="60">
        <v>163371</v>
      </c>
      <c r="L295" s="61">
        <f>95000</f>
        <v>95000</v>
      </c>
      <c r="M295" s="61">
        <v>0</v>
      </c>
      <c r="N295" s="60">
        <f t="shared" si="93"/>
        <v>258371</v>
      </c>
      <c r="O295" s="61">
        <f>242242</f>
        <v>242242</v>
      </c>
      <c r="P295" s="61">
        <v>0</v>
      </c>
      <c r="Q295" s="61">
        <v>0</v>
      </c>
      <c r="R295" s="60">
        <f t="shared" si="94"/>
        <v>16129</v>
      </c>
      <c r="S295" s="61">
        <f>2380+750+12999</f>
        <v>16129</v>
      </c>
      <c r="T295" s="62">
        <f t="shared" si="107"/>
        <v>1</v>
      </c>
      <c r="U295" s="61">
        <f>2380+750+12999</f>
        <v>16129</v>
      </c>
      <c r="V295" s="62">
        <f t="shared" si="98"/>
        <v>1</v>
      </c>
      <c r="W295" s="61">
        <f>2380+750+12999</f>
        <v>16129</v>
      </c>
      <c r="X295" s="63">
        <f t="shared" si="71"/>
        <v>1</v>
      </c>
      <c r="Y295" s="64"/>
    </row>
    <row r="296" spans="1:25" s="65" customFormat="1" ht="39" customHeight="1" x14ac:dyDescent="0.2">
      <c r="A296" s="92" t="s">
        <v>110</v>
      </c>
      <c r="B296" s="52" t="s">
        <v>111</v>
      </c>
      <c r="C296" s="53" t="s">
        <v>187</v>
      </c>
      <c r="D296" s="54" t="s">
        <v>190</v>
      </c>
      <c r="E296" s="55" t="s">
        <v>140</v>
      </c>
      <c r="F296" s="56" t="s">
        <v>191</v>
      </c>
      <c r="G296" s="57">
        <v>1</v>
      </c>
      <c r="H296" s="87" t="s">
        <v>65</v>
      </c>
      <c r="I296" s="88" t="s">
        <v>66</v>
      </c>
      <c r="J296" s="59">
        <v>3</v>
      </c>
      <c r="K296" s="60">
        <v>0</v>
      </c>
      <c r="L296" s="61">
        <f>3061248</f>
        <v>3061248</v>
      </c>
      <c r="M296" s="61">
        <v>0</v>
      </c>
      <c r="N296" s="60">
        <f t="shared" si="93"/>
        <v>3061248</v>
      </c>
      <c r="O296" s="61">
        <f>31646.95</f>
        <v>31646.95</v>
      </c>
      <c r="P296" s="61">
        <v>0</v>
      </c>
      <c r="Q296" s="61">
        <v>0</v>
      </c>
      <c r="R296" s="60">
        <f t="shared" si="94"/>
        <v>3029601.05</v>
      </c>
      <c r="S296" s="61">
        <f>2931601.05+98000</f>
        <v>3029601.05</v>
      </c>
      <c r="T296" s="62">
        <f t="shared" si="107"/>
        <v>1</v>
      </c>
      <c r="U296" s="61">
        <f>2931601.05+98000</f>
        <v>3029601.05</v>
      </c>
      <c r="V296" s="62">
        <f>U296/R296</f>
        <v>1</v>
      </c>
      <c r="W296" s="61">
        <f>2931601.05+98000</f>
        <v>3029601.05</v>
      </c>
      <c r="X296" s="63">
        <f t="shared" si="71"/>
        <v>1</v>
      </c>
      <c r="Y296" s="64"/>
    </row>
    <row r="297" spans="1:25" s="65" customFormat="1" ht="39" customHeight="1" x14ac:dyDescent="0.2">
      <c r="A297" s="92" t="s">
        <v>110</v>
      </c>
      <c r="B297" s="52" t="s">
        <v>111</v>
      </c>
      <c r="C297" s="53" t="s">
        <v>187</v>
      </c>
      <c r="D297" s="54" t="s">
        <v>190</v>
      </c>
      <c r="E297" s="55" t="s">
        <v>140</v>
      </c>
      <c r="F297" s="56" t="s">
        <v>191</v>
      </c>
      <c r="G297" s="57">
        <v>1</v>
      </c>
      <c r="H297" s="106" t="s">
        <v>118</v>
      </c>
      <c r="I297" s="99" t="s">
        <v>119</v>
      </c>
      <c r="J297" s="59">
        <v>3</v>
      </c>
      <c r="K297" s="60">
        <v>0</v>
      </c>
      <c r="L297" s="61">
        <f>60355</f>
        <v>60355</v>
      </c>
      <c r="M297" s="61">
        <v>0</v>
      </c>
      <c r="N297" s="60">
        <f t="shared" si="93"/>
        <v>60355</v>
      </c>
      <c r="O297" s="61">
        <f>60355</f>
        <v>60355</v>
      </c>
      <c r="P297" s="61">
        <v>0</v>
      </c>
      <c r="Q297" s="61">
        <v>0</v>
      </c>
      <c r="R297" s="60">
        <f t="shared" si="94"/>
        <v>0</v>
      </c>
      <c r="S297" s="61">
        <v>0</v>
      </c>
      <c r="T297" s="62">
        <v>0</v>
      </c>
      <c r="U297" s="61">
        <v>0</v>
      </c>
      <c r="V297" s="62">
        <v>0</v>
      </c>
      <c r="W297" s="61">
        <v>0</v>
      </c>
      <c r="X297" s="63">
        <v>0</v>
      </c>
      <c r="Y297" s="64"/>
    </row>
    <row r="298" spans="1:25" s="65" customFormat="1" ht="39" customHeight="1" x14ac:dyDescent="0.2">
      <c r="A298" s="92" t="s">
        <v>110</v>
      </c>
      <c r="B298" s="52" t="s">
        <v>111</v>
      </c>
      <c r="C298" s="53" t="s">
        <v>187</v>
      </c>
      <c r="D298" s="54" t="s">
        <v>190</v>
      </c>
      <c r="E298" s="55" t="s">
        <v>140</v>
      </c>
      <c r="F298" s="56" t="s">
        <v>191</v>
      </c>
      <c r="G298" s="57">
        <v>1</v>
      </c>
      <c r="H298" s="106" t="s">
        <v>118</v>
      </c>
      <c r="I298" s="99" t="s">
        <v>119</v>
      </c>
      <c r="J298" s="59">
        <v>4</v>
      </c>
      <c r="K298" s="60">
        <v>0</v>
      </c>
      <c r="L298" s="61">
        <f>800000+100000</f>
        <v>900000</v>
      </c>
      <c r="M298" s="61">
        <v>0</v>
      </c>
      <c r="N298" s="60">
        <f t="shared" si="93"/>
        <v>900000</v>
      </c>
      <c r="O298" s="61">
        <f>800000-336107.12+32884.12</f>
        <v>496777</v>
      </c>
      <c r="P298" s="61">
        <v>0</v>
      </c>
      <c r="Q298" s="61">
        <v>0</v>
      </c>
      <c r="R298" s="60">
        <f t="shared" si="94"/>
        <v>403223</v>
      </c>
      <c r="S298" s="61">
        <f>314396</f>
        <v>314396</v>
      </c>
      <c r="T298" s="62">
        <v>0</v>
      </c>
      <c r="U298" s="61">
        <v>0</v>
      </c>
      <c r="V298" s="62">
        <v>0</v>
      </c>
      <c r="W298" s="61">
        <v>0</v>
      </c>
      <c r="X298" s="63">
        <v>0</v>
      </c>
      <c r="Y298" s="64"/>
    </row>
    <row r="299" spans="1:25" s="42" customFormat="1" ht="9" customHeight="1" x14ac:dyDescent="0.2">
      <c r="A299" s="66"/>
      <c r="B299" s="67"/>
      <c r="C299" s="68"/>
      <c r="D299" s="69"/>
      <c r="E299" s="70"/>
      <c r="F299" s="71"/>
      <c r="G299" s="72"/>
      <c r="H299" s="68"/>
      <c r="I299" s="73"/>
      <c r="J299" s="74"/>
      <c r="K299" s="75"/>
      <c r="L299" s="76"/>
      <c r="M299" s="76"/>
      <c r="N299" s="75"/>
      <c r="O299" s="76"/>
      <c r="P299" s="76"/>
      <c r="Q299" s="76"/>
      <c r="R299" s="75"/>
      <c r="S299" s="76"/>
      <c r="T299" s="77"/>
      <c r="U299" s="76"/>
      <c r="V299" s="77"/>
      <c r="W299" s="76"/>
      <c r="X299" s="78"/>
    </row>
    <row r="300" spans="1:25" s="50" customFormat="1" ht="39" customHeight="1" x14ac:dyDescent="0.2">
      <c r="A300" s="100" t="s">
        <v>110</v>
      </c>
      <c r="B300" s="195" t="s">
        <v>111</v>
      </c>
      <c r="C300" s="196"/>
      <c r="D300" s="80" t="s">
        <v>192</v>
      </c>
      <c r="E300" s="81" t="s">
        <v>140</v>
      </c>
      <c r="F300" s="195" t="s">
        <v>193</v>
      </c>
      <c r="G300" s="197"/>
      <c r="H300" s="197"/>
      <c r="I300" s="197"/>
      <c r="J300" s="196"/>
      <c r="K300" s="82">
        <f>SUM(K301:K305)</f>
        <v>2378631</v>
      </c>
      <c r="L300" s="82">
        <f t="shared" ref="L300:S300" si="108">SUM(L301:L305)</f>
        <v>345423</v>
      </c>
      <c r="M300" s="82">
        <f t="shared" si="108"/>
        <v>79165</v>
      </c>
      <c r="N300" s="82">
        <f t="shared" si="108"/>
        <v>2644889</v>
      </c>
      <c r="O300" s="82">
        <f t="shared" si="108"/>
        <v>103772.92</v>
      </c>
      <c r="P300" s="82">
        <f t="shared" si="108"/>
        <v>0</v>
      </c>
      <c r="Q300" s="82">
        <f t="shared" si="108"/>
        <v>0</v>
      </c>
      <c r="R300" s="82">
        <f t="shared" si="108"/>
        <v>2541116.08</v>
      </c>
      <c r="S300" s="82">
        <f t="shared" si="108"/>
        <v>1976321.6600000001</v>
      </c>
      <c r="T300" s="83">
        <f>S300/R300</f>
        <v>0.77773765455059418</v>
      </c>
      <c r="U300" s="82">
        <f>SUM(U301:U305)</f>
        <v>1804647.17</v>
      </c>
      <c r="V300" s="83">
        <f>U300/R300</f>
        <v>0.71017895805846065</v>
      </c>
      <c r="W300" s="82">
        <f>SUM(W301:W305)</f>
        <v>1768058.9000000001</v>
      </c>
      <c r="X300" s="84">
        <f>W300/R300</f>
        <v>0.69578045407512434</v>
      </c>
      <c r="Y300" s="49"/>
    </row>
    <row r="301" spans="1:25" s="65" customFormat="1" ht="39" customHeight="1" x14ac:dyDescent="0.2">
      <c r="A301" s="92" t="s">
        <v>110</v>
      </c>
      <c r="B301" s="52" t="s">
        <v>111</v>
      </c>
      <c r="C301" s="53" t="s">
        <v>187</v>
      </c>
      <c r="D301" s="54" t="s">
        <v>192</v>
      </c>
      <c r="E301" s="55" t="s">
        <v>140</v>
      </c>
      <c r="F301" s="56" t="s">
        <v>193</v>
      </c>
      <c r="G301" s="57">
        <v>1</v>
      </c>
      <c r="H301" s="53" t="s">
        <v>53</v>
      </c>
      <c r="I301" s="58" t="s">
        <v>54</v>
      </c>
      <c r="J301" s="59">
        <v>4</v>
      </c>
      <c r="K301" s="60">
        <v>80000</v>
      </c>
      <c r="L301" s="61">
        <v>0</v>
      </c>
      <c r="M301" s="61">
        <f>79165</f>
        <v>79165</v>
      </c>
      <c r="N301" s="60">
        <f t="shared" si="93"/>
        <v>835</v>
      </c>
      <c r="O301" s="61">
        <f>29399.44+49765.56-79165</f>
        <v>0</v>
      </c>
      <c r="P301" s="61">
        <v>0</v>
      </c>
      <c r="Q301" s="61">
        <v>0</v>
      </c>
      <c r="R301" s="60">
        <f t="shared" si="94"/>
        <v>835</v>
      </c>
      <c r="S301" s="61">
        <v>0</v>
      </c>
      <c r="T301" s="62">
        <f>S301/R301</f>
        <v>0</v>
      </c>
      <c r="U301" s="61">
        <v>0</v>
      </c>
      <c r="V301" s="62">
        <f t="shared" si="98"/>
        <v>0</v>
      </c>
      <c r="W301" s="61">
        <v>0</v>
      </c>
      <c r="X301" s="63">
        <f t="shared" si="71"/>
        <v>0</v>
      </c>
      <c r="Y301" s="64"/>
    </row>
    <row r="302" spans="1:25" s="65" customFormat="1" ht="39" customHeight="1" x14ac:dyDescent="0.2">
      <c r="A302" s="92" t="s">
        <v>110</v>
      </c>
      <c r="B302" s="52" t="s">
        <v>111</v>
      </c>
      <c r="C302" s="53" t="s">
        <v>187</v>
      </c>
      <c r="D302" s="54" t="s">
        <v>192</v>
      </c>
      <c r="E302" s="55" t="s">
        <v>140</v>
      </c>
      <c r="F302" s="56" t="s">
        <v>193</v>
      </c>
      <c r="G302" s="57">
        <v>1</v>
      </c>
      <c r="H302" s="53" t="s">
        <v>116</v>
      </c>
      <c r="I302" s="58" t="s">
        <v>117</v>
      </c>
      <c r="J302" s="59">
        <v>3</v>
      </c>
      <c r="K302" s="60">
        <f>271306+2027325</f>
        <v>2298631</v>
      </c>
      <c r="L302" s="61">
        <f>20000</f>
        <v>20000</v>
      </c>
      <c r="M302" s="61">
        <v>0</v>
      </c>
      <c r="N302" s="60">
        <f t="shared" si="93"/>
        <v>2318631</v>
      </c>
      <c r="O302" s="61">
        <v>0</v>
      </c>
      <c r="P302" s="61">
        <v>0</v>
      </c>
      <c r="Q302" s="61">
        <v>0</v>
      </c>
      <c r="R302" s="60">
        <f t="shared" si="94"/>
        <v>2318631</v>
      </c>
      <c r="S302" s="61">
        <f>72801.69+108300+116292.99+38706.94+231134.18+139400+111017.34+194627.09+397800+166200+178391.35</f>
        <v>1754671.58</v>
      </c>
      <c r="T302" s="62">
        <f>S302/R302</f>
        <v>0.75677051674026619</v>
      </c>
      <c r="U302" s="61">
        <f>23167.91+121591.9+107212.2+23622.25+92450.52+302492.63+96172.8+67407.59+460964.97+89386.65+198527.67</f>
        <v>1582997.0899999999</v>
      </c>
      <c r="V302" s="62">
        <f t="shared" si="98"/>
        <v>0.68272920098109613</v>
      </c>
      <c r="W302" s="61">
        <f>18057.38+78002.43+73532.1+106002.35+92450.52+302492.63+96172.8+49594.05+365037.59+203127.57+161939.4</f>
        <v>1546408.82</v>
      </c>
      <c r="X302" s="63">
        <f t="shared" si="71"/>
        <v>0.66694908331683656</v>
      </c>
      <c r="Y302" s="64"/>
    </row>
    <row r="303" spans="1:25" s="65" customFormat="1" ht="39" customHeight="1" x14ac:dyDescent="0.2">
      <c r="A303" s="92" t="s">
        <v>110</v>
      </c>
      <c r="B303" s="52" t="s">
        <v>111</v>
      </c>
      <c r="C303" s="53" t="s">
        <v>187</v>
      </c>
      <c r="D303" s="54" t="s">
        <v>192</v>
      </c>
      <c r="E303" s="55" t="s">
        <v>140</v>
      </c>
      <c r="F303" s="56" t="s">
        <v>193</v>
      </c>
      <c r="G303" s="57">
        <v>1</v>
      </c>
      <c r="H303" s="87" t="s">
        <v>65</v>
      </c>
      <c r="I303" s="88" t="s">
        <v>66</v>
      </c>
      <c r="J303" s="59">
        <v>3</v>
      </c>
      <c r="K303" s="60">
        <v>0</v>
      </c>
      <c r="L303" s="61">
        <f>221651</f>
        <v>221651</v>
      </c>
      <c r="M303" s="61">
        <v>0</v>
      </c>
      <c r="N303" s="60">
        <f t="shared" si="93"/>
        <v>221651</v>
      </c>
      <c r="O303" s="61">
        <f>0.92</f>
        <v>0.92</v>
      </c>
      <c r="P303" s="61">
        <v>0</v>
      </c>
      <c r="Q303" s="61">
        <v>0</v>
      </c>
      <c r="R303" s="60">
        <f t="shared" si="94"/>
        <v>221650.08</v>
      </c>
      <c r="S303" s="61">
        <f>209400.08+12250</f>
        <v>221650.08</v>
      </c>
      <c r="T303" s="62">
        <f>S303/R303</f>
        <v>1</v>
      </c>
      <c r="U303" s="61">
        <f>209400.08+12250</f>
        <v>221650.08</v>
      </c>
      <c r="V303" s="62">
        <f t="shared" si="98"/>
        <v>1</v>
      </c>
      <c r="W303" s="61">
        <f>209400.08+12250</f>
        <v>221650.08</v>
      </c>
      <c r="X303" s="63">
        <f t="shared" si="71"/>
        <v>1</v>
      </c>
      <c r="Y303" s="64"/>
    </row>
    <row r="304" spans="1:25" s="65" customFormat="1" ht="39" customHeight="1" x14ac:dyDescent="0.2">
      <c r="A304" s="92" t="s">
        <v>110</v>
      </c>
      <c r="B304" s="52" t="s">
        <v>111</v>
      </c>
      <c r="C304" s="53" t="s">
        <v>187</v>
      </c>
      <c r="D304" s="54" t="s">
        <v>192</v>
      </c>
      <c r="E304" s="55" t="s">
        <v>140</v>
      </c>
      <c r="F304" s="56" t="s">
        <v>193</v>
      </c>
      <c r="G304" s="57">
        <v>1</v>
      </c>
      <c r="H304" s="106" t="s">
        <v>118</v>
      </c>
      <c r="I304" s="99" t="s">
        <v>119</v>
      </c>
      <c r="J304" s="59">
        <v>3</v>
      </c>
      <c r="K304" s="60">
        <v>0</v>
      </c>
      <c r="L304" s="61">
        <f>3772</f>
        <v>3772</v>
      </c>
      <c r="M304" s="61">
        <v>0</v>
      </c>
      <c r="N304" s="60">
        <f t="shared" si="93"/>
        <v>3772</v>
      </c>
      <c r="O304" s="61">
        <f>3772</f>
        <v>3772</v>
      </c>
      <c r="P304" s="61">
        <v>0</v>
      </c>
      <c r="Q304" s="61">
        <v>0</v>
      </c>
      <c r="R304" s="60">
        <f t="shared" si="94"/>
        <v>0</v>
      </c>
      <c r="S304" s="61">
        <v>0</v>
      </c>
      <c r="T304" s="62">
        <v>0</v>
      </c>
      <c r="U304" s="61">
        <v>0</v>
      </c>
      <c r="V304" s="62">
        <v>0</v>
      </c>
      <c r="W304" s="61">
        <v>0</v>
      </c>
      <c r="X304" s="63">
        <v>0</v>
      </c>
      <c r="Y304" s="64"/>
    </row>
    <row r="305" spans="1:25" s="65" customFormat="1" ht="39" customHeight="1" x14ac:dyDescent="0.2">
      <c r="A305" s="92" t="s">
        <v>110</v>
      </c>
      <c r="B305" s="52" t="s">
        <v>111</v>
      </c>
      <c r="C305" s="53" t="s">
        <v>187</v>
      </c>
      <c r="D305" s="54" t="s">
        <v>192</v>
      </c>
      <c r="E305" s="55" t="s">
        <v>140</v>
      </c>
      <c r="F305" s="56" t="s">
        <v>193</v>
      </c>
      <c r="G305" s="57">
        <v>1</v>
      </c>
      <c r="H305" s="106" t="s">
        <v>118</v>
      </c>
      <c r="I305" s="99" t="s">
        <v>119</v>
      </c>
      <c r="J305" s="59">
        <v>4</v>
      </c>
      <c r="K305" s="60">
        <v>0</v>
      </c>
      <c r="L305" s="61">
        <f>100000</f>
        <v>100000</v>
      </c>
      <c r="M305" s="61">
        <v>0</v>
      </c>
      <c r="N305" s="60">
        <f t="shared" si="93"/>
        <v>100000</v>
      </c>
      <c r="O305" s="61">
        <f>100000</f>
        <v>100000</v>
      </c>
      <c r="P305" s="61">
        <v>0</v>
      </c>
      <c r="Q305" s="61">
        <v>0</v>
      </c>
      <c r="R305" s="60">
        <f t="shared" si="94"/>
        <v>0</v>
      </c>
      <c r="S305" s="61">
        <v>0</v>
      </c>
      <c r="T305" s="62">
        <v>0</v>
      </c>
      <c r="U305" s="61">
        <v>0</v>
      </c>
      <c r="V305" s="62">
        <v>0</v>
      </c>
      <c r="W305" s="61">
        <v>0</v>
      </c>
      <c r="X305" s="63">
        <v>0</v>
      </c>
      <c r="Y305" s="64"/>
    </row>
    <row r="306" spans="1:25" s="42" customFormat="1" ht="9" customHeight="1" x14ac:dyDescent="0.2">
      <c r="A306" s="66"/>
      <c r="B306" s="67"/>
      <c r="C306" s="68"/>
      <c r="D306" s="69"/>
      <c r="E306" s="70"/>
      <c r="F306" s="71"/>
      <c r="G306" s="72"/>
      <c r="H306" s="68"/>
      <c r="I306" s="73"/>
      <c r="J306" s="74"/>
      <c r="K306" s="75"/>
      <c r="L306" s="76"/>
      <c r="M306" s="76"/>
      <c r="N306" s="75"/>
      <c r="O306" s="76"/>
      <c r="P306" s="76"/>
      <c r="Q306" s="76"/>
      <c r="R306" s="75"/>
      <c r="S306" s="76"/>
      <c r="T306" s="77"/>
      <c r="U306" s="76"/>
      <c r="V306" s="77"/>
      <c r="W306" s="76"/>
      <c r="X306" s="78"/>
    </row>
    <row r="307" spans="1:25" s="50" customFormat="1" ht="39" customHeight="1" x14ac:dyDescent="0.2">
      <c r="A307" s="100" t="s">
        <v>110</v>
      </c>
      <c r="B307" s="195" t="s">
        <v>111</v>
      </c>
      <c r="C307" s="196"/>
      <c r="D307" s="80" t="s">
        <v>194</v>
      </c>
      <c r="E307" s="81" t="s">
        <v>140</v>
      </c>
      <c r="F307" s="195" t="s">
        <v>195</v>
      </c>
      <c r="G307" s="197"/>
      <c r="H307" s="197"/>
      <c r="I307" s="197"/>
      <c r="J307" s="196"/>
      <c r="K307" s="82">
        <f>SUM(K308:K313)</f>
        <v>2948752</v>
      </c>
      <c r="L307" s="82">
        <f t="shared" ref="L307:S307" si="109">SUM(L308:L313)</f>
        <v>1220651</v>
      </c>
      <c r="M307" s="82">
        <f t="shared" si="109"/>
        <v>180000</v>
      </c>
      <c r="N307" s="82">
        <f t="shared" si="109"/>
        <v>3989403</v>
      </c>
      <c r="O307" s="82">
        <f t="shared" si="109"/>
        <v>23478.92</v>
      </c>
      <c r="P307" s="82">
        <f t="shared" si="109"/>
        <v>0</v>
      </c>
      <c r="Q307" s="82">
        <f t="shared" si="109"/>
        <v>0</v>
      </c>
      <c r="R307" s="82">
        <f t="shared" si="109"/>
        <v>3965924.08</v>
      </c>
      <c r="S307" s="82">
        <f t="shared" si="109"/>
        <v>3339372.58</v>
      </c>
      <c r="T307" s="83">
        <f t="shared" ref="T307:T312" si="110">S307/R307</f>
        <v>0.8420162647188143</v>
      </c>
      <c r="U307" s="82">
        <f>SUM(U308:U313)</f>
        <v>3098112.96</v>
      </c>
      <c r="V307" s="83">
        <f>U307/R307</f>
        <v>0.78118312340462148</v>
      </c>
      <c r="W307" s="82">
        <f>SUM(W308:W313)</f>
        <v>3024362.63</v>
      </c>
      <c r="X307" s="84">
        <f>W307/R307</f>
        <v>0.76258712194006495</v>
      </c>
      <c r="Y307" s="49"/>
    </row>
    <row r="308" spans="1:25" s="65" customFormat="1" ht="39" customHeight="1" x14ac:dyDescent="0.2">
      <c r="A308" s="92" t="s">
        <v>110</v>
      </c>
      <c r="B308" s="52" t="s">
        <v>111</v>
      </c>
      <c r="C308" s="53" t="s">
        <v>187</v>
      </c>
      <c r="D308" s="54" t="s">
        <v>194</v>
      </c>
      <c r="E308" s="55" t="s">
        <v>140</v>
      </c>
      <c r="F308" s="56" t="s">
        <v>195</v>
      </c>
      <c r="G308" s="57">
        <v>1</v>
      </c>
      <c r="H308" s="53" t="s">
        <v>53</v>
      </c>
      <c r="I308" s="58" t="s">
        <v>54</v>
      </c>
      <c r="J308" s="59">
        <v>3</v>
      </c>
      <c r="K308" s="60">
        <v>294968</v>
      </c>
      <c r="L308" s="61">
        <v>0</v>
      </c>
      <c r="M308" s="61">
        <v>0</v>
      </c>
      <c r="N308" s="60">
        <f t="shared" si="93"/>
        <v>294968</v>
      </c>
      <c r="O308" s="61">
        <v>0</v>
      </c>
      <c r="P308" s="61">
        <v>0</v>
      </c>
      <c r="Q308" s="61">
        <v>0</v>
      </c>
      <c r="R308" s="60">
        <f t="shared" si="94"/>
        <v>294968</v>
      </c>
      <c r="S308" s="61">
        <f>202000+49000</f>
        <v>251000</v>
      </c>
      <c r="T308" s="62">
        <f t="shared" si="110"/>
        <v>0.85093976295733775</v>
      </c>
      <c r="U308" s="61">
        <f>128447.66+51482.77</f>
        <v>179930.43</v>
      </c>
      <c r="V308" s="62">
        <f t="shared" si="98"/>
        <v>0.60999983049008699</v>
      </c>
      <c r="W308" s="61">
        <f>120719.64+7728.02+51482.77</f>
        <v>179930.43</v>
      </c>
      <c r="X308" s="63">
        <f t="shared" si="71"/>
        <v>0.60999983049008699</v>
      </c>
      <c r="Y308" s="64"/>
    </row>
    <row r="309" spans="1:25" s="65" customFormat="1" ht="39" customHeight="1" x14ac:dyDescent="0.2">
      <c r="A309" s="92" t="s">
        <v>110</v>
      </c>
      <c r="B309" s="52" t="s">
        <v>111</v>
      </c>
      <c r="C309" s="53" t="s">
        <v>187</v>
      </c>
      <c r="D309" s="54" t="s">
        <v>194</v>
      </c>
      <c r="E309" s="55" t="s">
        <v>140</v>
      </c>
      <c r="F309" s="56" t="s">
        <v>195</v>
      </c>
      <c r="G309" s="57">
        <v>1</v>
      </c>
      <c r="H309" s="53" t="s">
        <v>53</v>
      </c>
      <c r="I309" s="58" t="s">
        <v>54</v>
      </c>
      <c r="J309" s="59">
        <v>4</v>
      </c>
      <c r="K309" s="60">
        <v>80000</v>
      </c>
      <c r="L309" s="61">
        <v>0</v>
      </c>
      <c r="M309" s="61">
        <f>80000</f>
        <v>80000</v>
      </c>
      <c r="N309" s="60">
        <f t="shared" si="93"/>
        <v>0</v>
      </c>
      <c r="O309" s="61">
        <v>0</v>
      </c>
      <c r="P309" s="61">
        <v>0</v>
      </c>
      <c r="Q309" s="61">
        <v>0</v>
      </c>
      <c r="R309" s="60">
        <f t="shared" si="94"/>
        <v>0</v>
      </c>
      <c r="S309" s="61">
        <v>0</v>
      </c>
      <c r="T309" s="62">
        <v>0</v>
      </c>
      <c r="U309" s="61">
        <v>0</v>
      </c>
      <c r="V309" s="62">
        <v>0</v>
      </c>
      <c r="W309" s="61">
        <v>0</v>
      </c>
      <c r="X309" s="63">
        <v>0</v>
      </c>
      <c r="Y309" s="64"/>
    </row>
    <row r="310" spans="1:25" s="65" customFormat="1" ht="39" customHeight="1" x14ac:dyDescent="0.2">
      <c r="A310" s="92" t="s">
        <v>110</v>
      </c>
      <c r="B310" s="52" t="s">
        <v>111</v>
      </c>
      <c r="C310" s="53" t="s">
        <v>187</v>
      </c>
      <c r="D310" s="54" t="s">
        <v>194</v>
      </c>
      <c r="E310" s="55" t="s">
        <v>140</v>
      </c>
      <c r="F310" s="56" t="s">
        <v>195</v>
      </c>
      <c r="G310" s="57">
        <v>1</v>
      </c>
      <c r="H310" s="53" t="s">
        <v>116</v>
      </c>
      <c r="I310" s="58" t="s">
        <v>117</v>
      </c>
      <c r="J310" s="59">
        <v>3</v>
      </c>
      <c r="K310" s="60">
        <f>5000+20000+1000+302367+2245417</f>
        <v>2573784</v>
      </c>
      <c r="L310" s="61">
        <f>800000</f>
        <v>800000</v>
      </c>
      <c r="M310" s="61">
        <v>0</v>
      </c>
      <c r="N310" s="60">
        <f t="shared" si="93"/>
        <v>3373784</v>
      </c>
      <c r="O310" s="61">
        <v>0</v>
      </c>
      <c r="P310" s="61">
        <v>0</v>
      </c>
      <c r="Q310" s="61">
        <v>0</v>
      </c>
      <c r="R310" s="60">
        <f t="shared" si="94"/>
        <v>3373784</v>
      </c>
      <c r="S310" s="61">
        <f>74368.24+430900+137278.5+277781.93+503540.32+259323.2+288696.02+323147.2+187110+64580+244475.09</f>
        <v>2791200.5</v>
      </c>
      <c r="T310" s="62">
        <f t="shared" si="110"/>
        <v>0.8273204508646671</v>
      </c>
      <c r="U310" s="61">
        <f>25550.26+208784.46+390455.91+283764.9+341298.72+297396.6+409640.96+203427.07+291684.65+80067.33+88939.59</f>
        <v>2621010.4499999997</v>
      </c>
      <c r="V310" s="62">
        <f t="shared" si="98"/>
        <v>0.77687559428819386</v>
      </c>
      <c r="W310" s="61">
        <f>18983.46+166651.26+143455.91+455039.32+281295.75+481825.15+363996.96+238444.84+223715.24+158662.97+87086.21</f>
        <v>2619157.0699999998</v>
      </c>
      <c r="X310" s="63">
        <f t="shared" si="71"/>
        <v>0.77632624673067385</v>
      </c>
      <c r="Y310" s="64"/>
    </row>
    <row r="311" spans="1:25" s="65" customFormat="1" ht="39" customHeight="1" x14ac:dyDescent="0.2">
      <c r="A311" s="92" t="s">
        <v>110</v>
      </c>
      <c r="B311" s="52" t="s">
        <v>111</v>
      </c>
      <c r="C311" s="53" t="s">
        <v>187</v>
      </c>
      <c r="D311" s="54" t="s">
        <v>194</v>
      </c>
      <c r="E311" s="55" t="s">
        <v>140</v>
      </c>
      <c r="F311" s="56" t="s">
        <v>195</v>
      </c>
      <c r="G311" s="57">
        <v>1</v>
      </c>
      <c r="H311" s="87" t="s">
        <v>65</v>
      </c>
      <c r="I311" s="88" t="s">
        <v>66</v>
      </c>
      <c r="J311" s="59">
        <v>3</v>
      </c>
      <c r="K311" s="60">
        <v>0</v>
      </c>
      <c r="L311" s="61">
        <f>233812</f>
        <v>233812</v>
      </c>
      <c r="M311" s="61">
        <v>0</v>
      </c>
      <c r="N311" s="60">
        <f t="shared" si="93"/>
        <v>233812</v>
      </c>
      <c r="O311" s="61">
        <f>12161.92</f>
        <v>12161.92</v>
      </c>
      <c r="P311" s="61">
        <v>0</v>
      </c>
      <c r="Q311" s="61">
        <v>0</v>
      </c>
      <c r="R311" s="60">
        <f t="shared" si="94"/>
        <v>221650.08</v>
      </c>
      <c r="S311" s="61">
        <f>209400.08+12250</f>
        <v>221650.08</v>
      </c>
      <c r="T311" s="62">
        <f t="shared" si="110"/>
        <v>1</v>
      </c>
      <c r="U311" s="61">
        <f>209400.08+12250</f>
        <v>221650.08</v>
      </c>
      <c r="V311" s="62">
        <f t="shared" si="98"/>
        <v>1</v>
      </c>
      <c r="W311" s="61">
        <f>50256.02+159144.06+12250</f>
        <v>221650.08</v>
      </c>
      <c r="X311" s="63">
        <f t="shared" si="71"/>
        <v>1</v>
      </c>
      <c r="Y311" s="64"/>
    </row>
    <row r="312" spans="1:25" s="65" customFormat="1" ht="39" customHeight="1" x14ac:dyDescent="0.2">
      <c r="A312" s="92" t="s">
        <v>110</v>
      </c>
      <c r="B312" s="52" t="s">
        <v>111</v>
      </c>
      <c r="C312" s="53" t="s">
        <v>187</v>
      </c>
      <c r="D312" s="54" t="s">
        <v>194</v>
      </c>
      <c r="E312" s="55" t="s">
        <v>140</v>
      </c>
      <c r="F312" s="56" t="s">
        <v>195</v>
      </c>
      <c r="G312" s="57">
        <v>1</v>
      </c>
      <c r="H312" s="106" t="s">
        <v>118</v>
      </c>
      <c r="I312" s="99" t="s">
        <v>119</v>
      </c>
      <c r="J312" s="59">
        <v>3</v>
      </c>
      <c r="K312" s="60">
        <v>0</v>
      </c>
      <c r="L312" s="61">
        <f>86839</f>
        <v>86839</v>
      </c>
      <c r="M312" s="61">
        <v>0</v>
      </c>
      <c r="N312" s="60">
        <f t="shared" si="93"/>
        <v>86839</v>
      </c>
      <c r="O312" s="61">
        <f>11317</f>
        <v>11317</v>
      </c>
      <c r="P312" s="61">
        <v>0</v>
      </c>
      <c r="Q312" s="61">
        <v>0</v>
      </c>
      <c r="R312" s="60">
        <f t="shared" si="94"/>
        <v>75522</v>
      </c>
      <c r="S312" s="61">
        <f>75522</f>
        <v>75522</v>
      </c>
      <c r="T312" s="62">
        <f t="shared" si="110"/>
        <v>1</v>
      </c>
      <c r="U312" s="61">
        <f>75522</f>
        <v>75522</v>
      </c>
      <c r="V312" s="62">
        <f t="shared" si="98"/>
        <v>1</v>
      </c>
      <c r="W312" s="61">
        <f>3625.05</f>
        <v>3625.05</v>
      </c>
      <c r="X312" s="63">
        <f t="shared" si="71"/>
        <v>4.7999920552951457E-2</v>
      </c>
      <c r="Y312" s="64"/>
    </row>
    <row r="313" spans="1:25" s="65" customFormat="1" ht="39" customHeight="1" x14ac:dyDescent="0.2">
      <c r="A313" s="92" t="s">
        <v>110</v>
      </c>
      <c r="B313" s="52" t="s">
        <v>111</v>
      </c>
      <c r="C313" s="53" t="s">
        <v>187</v>
      </c>
      <c r="D313" s="54" t="s">
        <v>194</v>
      </c>
      <c r="E313" s="55" t="s">
        <v>140</v>
      </c>
      <c r="F313" s="56" t="s">
        <v>195</v>
      </c>
      <c r="G313" s="57">
        <v>1</v>
      </c>
      <c r="H313" s="106" t="s">
        <v>118</v>
      </c>
      <c r="I313" s="99" t="s">
        <v>119</v>
      </c>
      <c r="J313" s="59">
        <v>4</v>
      </c>
      <c r="K313" s="60">
        <v>0</v>
      </c>
      <c r="L313" s="61">
        <f>100000</f>
        <v>100000</v>
      </c>
      <c r="M313" s="61">
        <f>10000+90000</f>
        <v>100000</v>
      </c>
      <c r="N313" s="60">
        <f t="shared" si="93"/>
        <v>0</v>
      </c>
      <c r="O313" s="61">
        <f>100000-10000-90000</f>
        <v>0</v>
      </c>
      <c r="P313" s="61">
        <v>0</v>
      </c>
      <c r="Q313" s="61">
        <v>0</v>
      </c>
      <c r="R313" s="60">
        <f t="shared" si="94"/>
        <v>0</v>
      </c>
      <c r="S313" s="61">
        <v>0</v>
      </c>
      <c r="T313" s="62">
        <v>0</v>
      </c>
      <c r="U313" s="61">
        <v>0</v>
      </c>
      <c r="V313" s="62">
        <v>0</v>
      </c>
      <c r="W313" s="61">
        <v>0</v>
      </c>
      <c r="X313" s="63">
        <v>0</v>
      </c>
      <c r="Y313" s="64"/>
    </row>
    <row r="314" spans="1:25" s="42" customFormat="1" ht="9" customHeight="1" x14ac:dyDescent="0.2">
      <c r="A314" s="66"/>
      <c r="B314" s="67"/>
      <c r="C314" s="68"/>
      <c r="D314" s="69"/>
      <c r="E314" s="70"/>
      <c r="F314" s="71"/>
      <c r="G314" s="72"/>
      <c r="H314" s="68"/>
      <c r="I314" s="73"/>
      <c r="J314" s="74"/>
      <c r="K314" s="75"/>
      <c r="L314" s="76"/>
      <c r="M314" s="76"/>
      <c r="N314" s="75"/>
      <c r="O314" s="76"/>
      <c r="P314" s="76"/>
      <c r="Q314" s="76"/>
      <c r="R314" s="75"/>
      <c r="S314" s="76"/>
      <c r="T314" s="77"/>
      <c r="U314" s="76"/>
      <c r="V314" s="77"/>
      <c r="W314" s="76"/>
      <c r="X314" s="78"/>
    </row>
    <row r="315" spans="1:25" s="50" customFormat="1" ht="39" customHeight="1" x14ac:dyDescent="0.2">
      <c r="A315" s="100" t="s">
        <v>110</v>
      </c>
      <c r="B315" s="195" t="s">
        <v>111</v>
      </c>
      <c r="C315" s="196"/>
      <c r="D315" s="80" t="s">
        <v>196</v>
      </c>
      <c r="E315" s="81" t="s">
        <v>135</v>
      </c>
      <c r="F315" s="195" t="s">
        <v>197</v>
      </c>
      <c r="G315" s="197"/>
      <c r="H315" s="197"/>
      <c r="I315" s="197"/>
      <c r="J315" s="196"/>
      <c r="K315" s="82">
        <f>SUM(K316:K317)</f>
        <v>470000</v>
      </c>
      <c r="L315" s="82">
        <f t="shared" ref="L315:S315" si="111">SUM(L316:L317)</f>
        <v>300000</v>
      </c>
      <c r="M315" s="82">
        <f t="shared" si="111"/>
        <v>100000</v>
      </c>
      <c r="N315" s="82">
        <f t="shared" si="111"/>
        <v>670000</v>
      </c>
      <c r="O315" s="82">
        <f t="shared" si="111"/>
        <v>200000</v>
      </c>
      <c r="P315" s="82">
        <f t="shared" si="111"/>
        <v>0</v>
      </c>
      <c r="Q315" s="82">
        <f t="shared" si="111"/>
        <v>-35000</v>
      </c>
      <c r="R315" s="82">
        <f t="shared" si="111"/>
        <v>435000</v>
      </c>
      <c r="S315" s="82">
        <f t="shared" si="111"/>
        <v>341228.1</v>
      </c>
      <c r="T315" s="83">
        <f>S315/R315</f>
        <v>0.78443241379310336</v>
      </c>
      <c r="U315" s="82">
        <f>SUM(U316:U317)</f>
        <v>339171.86</v>
      </c>
      <c r="V315" s="83">
        <f>U315/R315</f>
        <v>0.77970542528735631</v>
      </c>
      <c r="W315" s="82">
        <f>SUM(W316:W317)</f>
        <v>339171.86</v>
      </c>
      <c r="X315" s="84">
        <f>W315/R315</f>
        <v>0.77970542528735631</v>
      </c>
      <c r="Y315" s="49"/>
    </row>
    <row r="316" spans="1:25" s="65" customFormat="1" ht="39" customHeight="1" x14ac:dyDescent="0.2">
      <c r="A316" s="92" t="s">
        <v>110</v>
      </c>
      <c r="B316" s="52" t="s">
        <v>111</v>
      </c>
      <c r="C316" s="53" t="s">
        <v>198</v>
      </c>
      <c r="D316" s="54" t="s">
        <v>196</v>
      </c>
      <c r="E316" s="55" t="s">
        <v>135</v>
      </c>
      <c r="F316" s="56" t="s">
        <v>197</v>
      </c>
      <c r="G316" s="57">
        <v>1</v>
      </c>
      <c r="H316" s="53" t="s">
        <v>116</v>
      </c>
      <c r="I316" s="58" t="s">
        <v>117</v>
      </c>
      <c r="J316" s="59">
        <v>3</v>
      </c>
      <c r="K316" s="60">
        <f>245000+23000+200000+2000</f>
        <v>470000</v>
      </c>
      <c r="L316" s="61">
        <v>0</v>
      </c>
      <c r="M316" s="61">
        <v>0</v>
      </c>
      <c r="N316" s="60">
        <f t="shared" si="55"/>
        <v>470000</v>
      </c>
      <c r="O316" s="61">
        <v>0</v>
      </c>
      <c r="P316" s="61">
        <v>0</v>
      </c>
      <c r="Q316" s="61">
        <f>-35000</f>
        <v>-35000</v>
      </c>
      <c r="R316" s="60">
        <f t="shared" si="94"/>
        <v>435000</v>
      </c>
      <c r="S316" s="61">
        <f>5017+19785.5+21032.45+31837.93+92044.31+11224.5+10132.87+78105.19+6585.31+7368.29+58094.75</f>
        <v>341228.1</v>
      </c>
      <c r="T316" s="62">
        <f>S316/R316</f>
        <v>0.78443241379310336</v>
      </c>
      <c r="U316" s="61">
        <f>4787.4+19879.3+18680.2+33238.43+91164.11+12239.5+6897.67+33155.19+13185.31+47850+58094.75</f>
        <v>339171.86</v>
      </c>
      <c r="V316" s="62">
        <f t="shared" si="98"/>
        <v>0.77970542528735631</v>
      </c>
      <c r="W316" s="61">
        <f>4787.4+19879.3+18680.2+33238.43+88586.76+14816.85+6897.67+33155.19+13185.31+46518.43+59426.32</f>
        <v>339171.86</v>
      </c>
      <c r="X316" s="63">
        <f t="shared" si="71"/>
        <v>0.77970542528735631</v>
      </c>
      <c r="Y316" s="64"/>
    </row>
    <row r="317" spans="1:25" s="65" customFormat="1" ht="39" customHeight="1" x14ac:dyDescent="0.2">
      <c r="A317" s="92" t="s">
        <v>110</v>
      </c>
      <c r="B317" s="52" t="s">
        <v>111</v>
      </c>
      <c r="C317" s="53" t="s">
        <v>198</v>
      </c>
      <c r="D317" s="54" t="s">
        <v>196</v>
      </c>
      <c r="E317" s="55" t="s">
        <v>135</v>
      </c>
      <c r="F317" s="56" t="s">
        <v>197</v>
      </c>
      <c r="G317" s="57">
        <v>1</v>
      </c>
      <c r="H317" s="106" t="s">
        <v>118</v>
      </c>
      <c r="I317" s="99" t="s">
        <v>119</v>
      </c>
      <c r="J317" s="59">
        <v>3</v>
      </c>
      <c r="K317" s="60">
        <v>0</v>
      </c>
      <c r="L317" s="61">
        <f>300000</f>
        <v>300000</v>
      </c>
      <c r="M317" s="61">
        <f>100000</f>
        <v>100000</v>
      </c>
      <c r="N317" s="60">
        <f t="shared" si="55"/>
        <v>200000</v>
      </c>
      <c r="O317" s="61">
        <f>300000-100000</f>
        <v>200000</v>
      </c>
      <c r="P317" s="61">
        <v>0</v>
      </c>
      <c r="Q317" s="61">
        <v>0</v>
      </c>
      <c r="R317" s="60">
        <f t="shared" si="94"/>
        <v>0</v>
      </c>
      <c r="S317" s="61">
        <v>0</v>
      </c>
      <c r="T317" s="62">
        <v>0</v>
      </c>
      <c r="U317" s="61">
        <v>0</v>
      </c>
      <c r="V317" s="62">
        <v>0</v>
      </c>
      <c r="W317" s="61">
        <v>0</v>
      </c>
      <c r="X317" s="63">
        <v>0</v>
      </c>
      <c r="Y317" s="64"/>
    </row>
    <row r="318" spans="1:25" s="42" customFormat="1" ht="9" customHeight="1" x14ac:dyDescent="0.2">
      <c r="A318" s="66"/>
      <c r="B318" s="67"/>
      <c r="C318" s="68"/>
      <c r="D318" s="69"/>
      <c r="E318" s="70"/>
      <c r="F318" s="71"/>
      <c r="G318" s="72"/>
      <c r="H318" s="68"/>
      <c r="I318" s="73"/>
      <c r="J318" s="74"/>
      <c r="K318" s="75"/>
      <c r="L318" s="76"/>
      <c r="M318" s="76"/>
      <c r="N318" s="75"/>
      <c r="O318" s="76"/>
      <c r="P318" s="76"/>
      <c r="Q318" s="76"/>
      <c r="R318" s="75"/>
      <c r="S318" s="76"/>
      <c r="T318" s="77"/>
      <c r="U318" s="76"/>
      <c r="V318" s="77"/>
      <c r="W318" s="76"/>
      <c r="X318" s="78"/>
    </row>
    <row r="319" spans="1:25" s="50" customFormat="1" ht="39" customHeight="1" x14ac:dyDescent="0.2">
      <c r="A319" s="100" t="s">
        <v>110</v>
      </c>
      <c r="B319" s="195" t="s">
        <v>111</v>
      </c>
      <c r="C319" s="196"/>
      <c r="D319" s="80" t="s">
        <v>199</v>
      </c>
      <c r="E319" s="81" t="s">
        <v>135</v>
      </c>
      <c r="F319" s="195" t="s">
        <v>200</v>
      </c>
      <c r="G319" s="197"/>
      <c r="H319" s="197"/>
      <c r="I319" s="197"/>
      <c r="J319" s="196"/>
      <c r="K319" s="82">
        <f>K320</f>
        <v>30000</v>
      </c>
      <c r="L319" s="82">
        <f t="shared" ref="L319:S319" si="112">L320</f>
        <v>0</v>
      </c>
      <c r="M319" s="82">
        <f t="shared" si="112"/>
        <v>0</v>
      </c>
      <c r="N319" s="82">
        <f t="shared" si="112"/>
        <v>30000</v>
      </c>
      <c r="O319" s="82">
        <f t="shared" si="112"/>
        <v>0</v>
      </c>
      <c r="P319" s="82">
        <f t="shared" si="112"/>
        <v>0</v>
      </c>
      <c r="Q319" s="82">
        <f t="shared" si="112"/>
        <v>0</v>
      </c>
      <c r="R319" s="82">
        <f t="shared" si="112"/>
        <v>30000</v>
      </c>
      <c r="S319" s="82">
        <f t="shared" si="112"/>
        <v>398.95</v>
      </c>
      <c r="T319" s="83">
        <f>S319/R319</f>
        <v>1.3298333333333332E-2</v>
      </c>
      <c r="U319" s="82">
        <f>U320</f>
        <v>398.95</v>
      </c>
      <c r="V319" s="83">
        <f>U319/R319</f>
        <v>1.3298333333333332E-2</v>
      </c>
      <c r="W319" s="82">
        <f>W320</f>
        <v>398.95</v>
      </c>
      <c r="X319" s="84">
        <f>W319/R319</f>
        <v>1.3298333333333332E-2</v>
      </c>
      <c r="Y319" s="49"/>
    </row>
    <row r="320" spans="1:25" s="65" customFormat="1" ht="39" customHeight="1" x14ac:dyDescent="0.2">
      <c r="A320" s="92" t="s">
        <v>110</v>
      </c>
      <c r="B320" s="52" t="s">
        <v>111</v>
      </c>
      <c r="C320" s="53" t="s">
        <v>198</v>
      </c>
      <c r="D320" s="54" t="s">
        <v>199</v>
      </c>
      <c r="E320" s="55" t="s">
        <v>135</v>
      </c>
      <c r="F320" s="56" t="s">
        <v>200</v>
      </c>
      <c r="G320" s="57">
        <v>1</v>
      </c>
      <c r="H320" s="53" t="s">
        <v>116</v>
      </c>
      <c r="I320" s="58" t="s">
        <v>117</v>
      </c>
      <c r="J320" s="59">
        <v>3</v>
      </c>
      <c r="K320" s="60">
        <f>20000+10000</f>
        <v>30000</v>
      </c>
      <c r="L320" s="61">
        <v>0</v>
      </c>
      <c r="M320" s="61">
        <v>0</v>
      </c>
      <c r="N320" s="60">
        <f t="shared" si="55"/>
        <v>30000</v>
      </c>
      <c r="O320" s="61">
        <v>0</v>
      </c>
      <c r="P320" s="61">
        <v>0</v>
      </c>
      <c r="Q320" s="61">
        <v>0</v>
      </c>
      <c r="R320" s="60">
        <f t="shared" si="94"/>
        <v>30000</v>
      </c>
      <c r="S320" s="61">
        <f>398.95</f>
        <v>398.95</v>
      </c>
      <c r="T320" s="62">
        <f>S320/R320</f>
        <v>1.3298333333333332E-2</v>
      </c>
      <c r="U320" s="61">
        <f>398.95</f>
        <v>398.95</v>
      </c>
      <c r="V320" s="62">
        <f t="shared" si="98"/>
        <v>1.3298333333333332E-2</v>
      </c>
      <c r="W320" s="61">
        <f>398.95</f>
        <v>398.95</v>
      </c>
      <c r="X320" s="63">
        <f t="shared" si="71"/>
        <v>1.3298333333333332E-2</v>
      </c>
      <c r="Y320" s="64"/>
    </row>
    <row r="321" spans="1:25" s="42" customFormat="1" ht="9" customHeight="1" x14ac:dyDescent="0.2">
      <c r="A321" s="66"/>
      <c r="B321" s="67"/>
      <c r="C321" s="68"/>
      <c r="D321" s="69"/>
      <c r="E321" s="70"/>
      <c r="F321" s="71"/>
      <c r="G321" s="72"/>
      <c r="H321" s="68"/>
      <c r="I321" s="73"/>
      <c r="J321" s="74"/>
      <c r="K321" s="75"/>
      <c r="L321" s="76"/>
      <c r="M321" s="76"/>
      <c r="N321" s="75"/>
      <c r="O321" s="76"/>
      <c r="P321" s="76"/>
      <c r="Q321" s="76"/>
      <c r="R321" s="75"/>
      <c r="S321" s="76"/>
      <c r="T321" s="77"/>
      <c r="U321" s="76"/>
      <c r="V321" s="77"/>
      <c r="W321" s="76"/>
      <c r="X321" s="78"/>
    </row>
    <row r="322" spans="1:25" s="50" customFormat="1" ht="39" customHeight="1" x14ac:dyDescent="0.2">
      <c r="A322" s="100" t="s">
        <v>110</v>
      </c>
      <c r="B322" s="195" t="s">
        <v>111</v>
      </c>
      <c r="C322" s="196"/>
      <c r="D322" s="80" t="s">
        <v>201</v>
      </c>
      <c r="E322" s="81" t="s">
        <v>135</v>
      </c>
      <c r="F322" s="195" t="s">
        <v>202</v>
      </c>
      <c r="G322" s="197"/>
      <c r="H322" s="197"/>
      <c r="I322" s="197"/>
      <c r="J322" s="196"/>
      <c r="K322" s="82">
        <f>K323</f>
        <v>55000</v>
      </c>
      <c r="L322" s="82">
        <f t="shared" ref="L322:S322" si="113">L323</f>
        <v>0</v>
      </c>
      <c r="M322" s="82">
        <f t="shared" si="113"/>
        <v>0</v>
      </c>
      <c r="N322" s="82">
        <f t="shared" si="113"/>
        <v>55000</v>
      </c>
      <c r="O322" s="82">
        <f t="shared" si="113"/>
        <v>0</v>
      </c>
      <c r="P322" s="82">
        <f t="shared" si="113"/>
        <v>0</v>
      </c>
      <c r="Q322" s="82">
        <f t="shared" si="113"/>
        <v>0</v>
      </c>
      <c r="R322" s="82">
        <f t="shared" si="113"/>
        <v>55000</v>
      </c>
      <c r="S322" s="82">
        <f t="shared" si="113"/>
        <v>31984.32</v>
      </c>
      <c r="T322" s="83">
        <f>S322/R322</f>
        <v>0.58153309090909089</v>
      </c>
      <c r="U322" s="82">
        <f>U323</f>
        <v>26802.17</v>
      </c>
      <c r="V322" s="83">
        <f>U322/R322</f>
        <v>0.48731218181818181</v>
      </c>
      <c r="W322" s="82">
        <f>W323</f>
        <v>26802.17</v>
      </c>
      <c r="X322" s="84">
        <f>W322/R322</f>
        <v>0.48731218181818181</v>
      </c>
      <c r="Y322" s="49"/>
    </row>
    <row r="323" spans="1:25" s="65" customFormat="1" ht="39" customHeight="1" x14ac:dyDescent="0.2">
      <c r="A323" s="92" t="s">
        <v>110</v>
      </c>
      <c r="B323" s="52" t="s">
        <v>111</v>
      </c>
      <c r="C323" s="53" t="s">
        <v>198</v>
      </c>
      <c r="D323" s="54" t="s">
        <v>201</v>
      </c>
      <c r="E323" s="55" t="s">
        <v>135</v>
      </c>
      <c r="F323" s="56" t="s">
        <v>202</v>
      </c>
      <c r="G323" s="57">
        <v>1</v>
      </c>
      <c r="H323" s="53" t="s">
        <v>116</v>
      </c>
      <c r="I323" s="58" t="s">
        <v>117</v>
      </c>
      <c r="J323" s="59">
        <v>3</v>
      </c>
      <c r="K323" s="60">
        <f>5000+50000</f>
        <v>55000</v>
      </c>
      <c r="L323" s="61">
        <v>0</v>
      </c>
      <c r="M323" s="61">
        <v>0</v>
      </c>
      <c r="N323" s="60">
        <f t="shared" si="55"/>
        <v>55000</v>
      </c>
      <c r="O323" s="61">
        <v>0</v>
      </c>
      <c r="P323" s="61">
        <v>0</v>
      </c>
      <c r="Q323" s="61">
        <v>0</v>
      </c>
      <c r="R323" s="60">
        <f t="shared" si="94"/>
        <v>55000</v>
      </c>
      <c r="S323" s="61">
        <f>200+3303.3+1813.15+10788.24+9000+1697.48+5182.15</f>
        <v>31984.32</v>
      </c>
      <c r="T323" s="62">
        <f>S323/R323</f>
        <v>0.58153309090909089</v>
      </c>
      <c r="U323" s="61">
        <f>200+4516.45+600+1708.24+3690+3590+1697.48+10800</f>
        <v>26802.17</v>
      </c>
      <c r="V323" s="62">
        <f t="shared" si="98"/>
        <v>0.48731218181818181</v>
      </c>
      <c r="W323" s="61">
        <f>200+1213.15+3903.3+1708.24+7280+1697.48+10800</f>
        <v>26802.17</v>
      </c>
      <c r="X323" s="63">
        <f t="shared" si="71"/>
        <v>0.48731218181818181</v>
      </c>
      <c r="Y323" s="64"/>
    </row>
    <row r="324" spans="1:25" s="42" customFormat="1" ht="9" customHeight="1" x14ac:dyDescent="0.2">
      <c r="A324" s="66"/>
      <c r="B324" s="67"/>
      <c r="C324" s="68"/>
      <c r="D324" s="69"/>
      <c r="E324" s="70"/>
      <c r="F324" s="71"/>
      <c r="G324" s="72"/>
      <c r="H324" s="68"/>
      <c r="I324" s="73"/>
      <c r="J324" s="74"/>
      <c r="K324" s="75"/>
      <c r="L324" s="76"/>
      <c r="M324" s="76"/>
      <c r="N324" s="75"/>
      <c r="O324" s="76"/>
      <c r="P324" s="76"/>
      <c r="Q324" s="76"/>
      <c r="R324" s="75"/>
      <c r="S324" s="76"/>
      <c r="T324" s="77"/>
      <c r="U324" s="76"/>
      <c r="V324" s="77"/>
      <c r="W324" s="76"/>
      <c r="X324" s="78"/>
    </row>
    <row r="325" spans="1:25" s="50" customFormat="1" ht="39" customHeight="1" x14ac:dyDescent="0.2">
      <c r="A325" s="100" t="s">
        <v>110</v>
      </c>
      <c r="B325" s="195" t="s">
        <v>111</v>
      </c>
      <c r="C325" s="196"/>
      <c r="D325" s="80" t="s">
        <v>203</v>
      </c>
      <c r="E325" s="81" t="s">
        <v>135</v>
      </c>
      <c r="F325" s="198" t="s">
        <v>204</v>
      </c>
      <c r="G325" s="199"/>
      <c r="H325" s="199"/>
      <c r="I325" s="199"/>
      <c r="J325" s="200"/>
      <c r="K325" s="82">
        <f>SUM(K326:K328)</f>
        <v>419367</v>
      </c>
      <c r="L325" s="82">
        <f t="shared" ref="L325:W325" si="114">SUM(L326:L328)</f>
        <v>73408</v>
      </c>
      <c r="M325" s="82">
        <f t="shared" si="114"/>
        <v>0</v>
      </c>
      <c r="N325" s="82">
        <f t="shared" si="114"/>
        <v>492775</v>
      </c>
      <c r="O325" s="82">
        <f t="shared" si="114"/>
        <v>0</v>
      </c>
      <c r="P325" s="82">
        <f t="shared" si="114"/>
        <v>0</v>
      </c>
      <c r="Q325" s="82">
        <f t="shared" si="114"/>
        <v>-150720</v>
      </c>
      <c r="R325" s="82">
        <f t="shared" si="114"/>
        <v>342055</v>
      </c>
      <c r="S325" s="82">
        <f t="shared" si="114"/>
        <v>168150.35</v>
      </c>
      <c r="T325" s="83">
        <f>S325/R325</f>
        <v>0.49158863340690828</v>
      </c>
      <c r="U325" s="82">
        <f t="shared" si="114"/>
        <v>143156.45000000001</v>
      </c>
      <c r="V325" s="83">
        <f>U325/R325</f>
        <v>0.4185188054552631</v>
      </c>
      <c r="W325" s="82">
        <f t="shared" si="114"/>
        <v>143156.45000000001</v>
      </c>
      <c r="X325" s="84">
        <f>W325/R325</f>
        <v>0.4185188054552631</v>
      </c>
      <c r="Y325" s="49"/>
    </row>
    <row r="326" spans="1:25" s="65" customFormat="1" ht="39" customHeight="1" x14ac:dyDescent="0.2">
      <c r="A326" s="92" t="s">
        <v>110</v>
      </c>
      <c r="B326" s="52" t="s">
        <v>111</v>
      </c>
      <c r="C326" s="53" t="s">
        <v>198</v>
      </c>
      <c r="D326" s="54" t="s">
        <v>203</v>
      </c>
      <c r="E326" s="55" t="s">
        <v>135</v>
      </c>
      <c r="F326" s="109" t="s">
        <v>204</v>
      </c>
      <c r="G326" s="57">
        <v>1</v>
      </c>
      <c r="H326" s="53" t="s">
        <v>53</v>
      </c>
      <c r="I326" s="58" t="s">
        <v>54</v>
      </c>
      <c r="J326" s="59">
        <v>3</v>
      </c>
      <c r="K326" s="60">
        <v>0</v>
      </c>
      <c r="L326" s="61">
        <f>16000</f>
        <v>16000</v>
      </c>
      <c r="M326" s="61">
        <v>0</v>
      </c>
      <c r="N326" s="60">
        <f t="shared" ref="N326" si="115">K326+L326-M326</f>
        <v>16000</v>
      </c>
      <c r="O326" s="61">
        <v>0</v>
      </c>
      <c r="P326" s="61">
        <v>0</v>
      </c>
      <c r="Q326" s="61">
        <v>0</v>
      </c>
      <c r="R326" s="60">
        <f t="shared" ref="R326" si="116">N326-O326+P326+Q326</f>
        <v>16000</v>
      </c>
      <c r="S326" s="61">
        <v>0</v>
      </c>
      <c r="T326" s="62">
        <f>S326/R326</f>
        <v>0</v>
      </c>
      <c r="U326" s="61">
        <v>0</v>
      </c>
      <c r="V326" s="62">
        <f t="shared" si="98"/>
        <v>0</v>
      </c>
      <c r="W326" s="61">
        <v>0</v>
      </c>
      <c r="X326" s="63">
        <f t="shared" si="71"/>
        <v>0</v>
      </c>
      <c r="Y326" s="64"/>
    </row>
    <row r="327" spans="1:25" s="65" customFormat="1" ht="39" customHeight="1" x14ac:dyDescent="0.2">
      <c r="A327" s="92" t="s">
        <v>110</v>
      </c>
      <c r="B327" s="52" t="s">
        <v>111</v>
      </c>
      <c r="C327" s="53" t="s">
        <v>198</v>
      </c>
      <c r="D327" s="54" t="s">
        <v>203</v>
      </c>
      <c r="E327" s="55" t="s">
        <v>135</v>
      </c>
      <c r="F327" s="110" t="s">
        <v>204</v>
      </c>
      <c r="G327" s="57">
        <v>1</v>
      </c>
      <c r="H327" s="53" t="s">
        <v>116</v>
      </c>
      <c r="I327" s="58" t="s">
        <v>117</v>
      </c>
      <c r="J327" s="59">
        <v>3</v>
      </c>
      <c r="K327" s="60">
        <f>40000+316140+63227</f>
        <v>419367</v>
      </c>
      <c r="L327" s="61">
        <v>0</v>
      </c>
      <c r="M327" s="61">
        <v>0</v>
      </c>
      <c r="N327" s="60">
        <f t="shared" si="55"/>
        <v>419367</v>
      </c>
      <c r="O327" s="61">
        <v>0</v>
      </c>
      <c r="P327" s="61">
        <v>0</v>
      </c>
      <c r="Q327" s="61">
        <f>-31104-31104-31104</f>
        <v>-93312</v>
      </c>
      <c r="R327" s="60">
        <f t="shared" si="94"/>
        <v>326055</v>
      </c>
      <c r="S327" s="61">
        <f>5824.22+792.6+20276.5-788.88+2371.49+1183.64+33205.73+67057.52+13577.46+24650.07</f>
        <v>168150.35</v>
      </c>
      <c r="T327" s="62">
        <f>S327/R327</f>
        <v>0.51571161307141433</v>
      </c>
      <c r="U327" s="61">
        <f>4239.02+158.5+21072.82+2371.49+1183.64+25902.48+40817.37+35443.06+11968.07</f>
        <v>143156.45000000001</v>
      </c>
      <c r="V327" s="62">
        <f t="shared" si="98"/>
        <v>0.43905614083513522</v>
      </c>
      <c r="W327" s="61">
        <f>4239+158.52+18478.5+4965.81+1183.64+23634.95+37948.61+28909.99+23637.43</f>
        <v>143156.45000000001</v>
      </c>
      <c r="X327" s="63">
        <f t="shared" si="71"/>
        <v>0.43905614083513522</v>
      </c>
      <c r="Y327" s="64"/>
    </row>
    <row r="328" spans="1:25" s="65" customFormat="1" ht="39" customHeight="1" x14ac:dyDescent="0.2">
      <c r="A328" s="92" t="s">
        <v>110</v>
      </c>
      <c r="B328" s="52" t="s">
        <v>111</v>
      </c>
      <c r="C328" s="53" t="s">
        <v>198</v>
      </c>
      <c r="D328" s="54" t="s">
        <v>203</v>
      </c>
      <c r="E328" s="55" t="s">
        <v>135</v>
      </c>
      <c r="F328" s="109" t="s">
        <v>204</v>
      </c>
      <c r="G328" s="57">
        <v>1</v>
      </c>
      <c r="H328" s="106" t="s">
        <v>118</v>
      </c>
      <c r="I328" s="99" t="s">
        <v>119</v>
      </c>
      <c r="J328" s="59">
        <v>3</v>
      </c>
      <c r="K328" s="60">
        <v>0</v>
      </c>
      <c r="L328" s="61">
        <f>57408</f>
        <v>57408</v>
      </c>
      <c r="M328" s="61">
        <v>0</v>
      </c>
      <c r="N328" s="60">
        <f t="shared" si="55"/>
        <v>57408</v>
      </c>
      <c r="O328" s="61">
        <v>0</v>
      </c>
      <c r="P328" s="61">
        <v>0</v>
      </c>
      <c r="Q328" s="61">
        <f>-57408</f>
        <v>-57408</v>
      </c>
      <c r="R328" s="60">
        <f t="shared" si="94"/>
        <v>0</v>
      </c>
      <c r="S328" s="61">
        <v>0</v>
      </c>
      <c r="T328" s="62">
        <v>0</v>
      </c>
      <c r="U328" s="61">
        <v>0</v>
      </c>
      <c r="V328" s="62">
        <v>0</v>
      </c>
      <c r="W328" s="61">
        <v>0</v>
      </c>
      <c r="X328" s="63">
        <v>0</v>
      </c>
      <c r="Y328" s="64"/>
    </row>
    <row r="329" spans="1:25" s="42" customFormat="1" ht="9" customHeight="1" x14ac:dyDescent="0.2">
      <c r="A329" s="66"/>
      <c r="B329" s="67"/>
      <c r="C329" s="68"/>
      <c r="D329" s="69"/>
      <c r="E329" s="70"/>
      <c r="F329" s="71"/>
      <c r="G329" s="72"/>
      <c r="H329" s="68"/>
      <c r="I329" s="73"/>
      <c r="J329" s="74"/>
      <c r="K329" s="75"/>
      <c r="L329" s="76"/>
      <c r="M329" s="76"/>
      <c r="N329" s="75"/>
      <c r="O329" s="76"/>
      <c r="P329" s="76"/>
      <c r="Q329" s="76"/>
      <c r="R329" s="75"/>
      <c r="S329" s="76"/>
      <c r="T329" s="77"/>
      <c r="U329" s="76"/>
      <c r="V329" s="77"/>
      <c r="W329" s="76"/>
      <c r="X329" s="78"/>
    </row>
    <row r="330" spans="1:25" s="50" customFormat="1" ht="39" customHeight="1" x14ac:dyDescent="0.2">
      <c r="A330" s="100" t="s">
        <v>110</v>
      </c>
      <c r="B330" s="195" t="s">
        <v>111</v>
      </c>
      <c r="C330" s="196"/>
      <c r="D330" s="80" t="s">
        <v>205</v>
      </c>
      <c r="E330" s="81" t="s">
        <v>135</v>
      </c>
      <c r="F330" s="195" t="s">
        <v>206</v>
      </c>
      <c r="G330" s="197"/>
      <c r="H330" s="197"/>
      <c r="I330" s="197"/>
      <c r="J330" s="196"/>
      <c r="K330" s="82">
        <f t="shared" ref="K330:S330" si="117">SUM(K331:K334)</f>
        <v>520000</v>
      </c>
      <c r="L330" s="82">
        <f>SUM(L331:L334)</f>
        <v>595142</v>
      </c>
      <c r="M330" s="82">
        <f t="shared" si="117"/>
        <v>0</v>
      </c>
      <c r="N330" s="82">
        <f t="shared" si="117"/>
        <v>1115142</v>
      </c>
      <c r="O330" s="82">
        <f t="shared" si="117"/>
        <v>1265</v>
      </c>
      <c r="P330" s="82">
        <f t="shared" si="117"/>
        <v>0</v>
      </c>
      <c r="Q330" s="82">
        <f t="shared" si="117"/>
        <v>0</v>
      </c>
      <c r="R330" s="82">
        <f t="shared" si="117"/>
        <v>1113877</v>
      </c>
      <c r="S330" s="82">
        <f t="shared" si="117"/>
        <v>945570.51000000013</v>
      </c>
      <c r="T330" s="83">
        <f>S330/R330</f>
        <v>0.84890029150435831</v>
      </c>
      <c r="U330" s="82">
        <f>SUM(U331:U334)</f>
        <v>868390.65</v>
      </c>
      <c r="V330" s="83">
        <f>U330/R330</f>
        <v>0.7796108995876565</v>
      </c>
      <c r="W330" s="82">
        <f>SUM(W331:W334)</f>
        <v>868110.2300000001</v>
      </c>
      <c r="X330" s="84">
        <f>W330/R330</f>
        <v>0.77935914827220609</v>
      </c>
      <c r="Y330" s="49"/>
    </row>
    <row r="331" spans="1:25" s="65" customFormat="1" ht="39" customHeight="1" x14ac:dyDescent="0.2">
      <c r="A331" s="92" t="s">
        <v>110</v>
      </c>
      <c r="B331" s="52" t="s">
        <v>111</v>
      </c>
      <c r="C331" s="53" t="s">
        <v>198</v>
      </c>
      <c r="D331" s="54" t="s">
        <v>205</v>
      </c>
      <c r="E331" s="55" t="s">
        <v>135</v>
      </c>
      <c r="F331" s="56" t="s">
        <v>206</v>
      </c>
      <c r="G331" s="57">
        <v>1</v>
      </c>
      <c r="H331" s="53" t="s">
        <v>114</v>
      </c>
      <c r="I331" s="58" t="s">
        <v>115</v>
      </c>
      <c r="J331" s="59">
        <v>3</v>
      </c>
      <c r="K331" s="60">
        <v>70000</v>
      </c>
      <c r="L331" s="61">
        <v>0</v>
      </c>
      <c r="M331" s="61">
        <v>0</v>
      </c>
      <c r="N331" s="60">
        <f t="shared" si="55"/>
        <v>70000</v>
      </c>
      <c r="O331" s="61">
        <v>0</v>
      </c>
      <c r="P331" s="61">
        <v>0</v>
      </c>
      <c r="Q331" s="61">
        <v>0</v>
      </c>
      <c r="R331" s="60">
        <f t="shared" si="94"/>
        <v>70000</v>
      </c>
      <c r="S331" s="61">
        <v>0</v>
      </c>
      <c r="T331" s="62">
        <f>S331/R331</f>
        <v>0</v>
      </c>
      <c r="U331" s="61">
        <v>0</v>
      </c>
      <c r="V331" s="62">
        <f>U331/R331</f>
        <v>0</v>
      </c>
      <c r="W331" s="61">
        <v>0</v>
      </c>
      <c r="X331" s="63">
        <f>W331/R331</f>
        <v>0</v>
      </c>
      <c r="Y331" s="64"/>
    </row>
    <row r="332" spans="1:25" s="65" customFormat="1" ht="39" customHeight="1" x14ac:dyDescent="0.2">
      <c r="A332" s="92" t="s">
        <v>110</v>
      </c>
      <c r="B332" s="52" t="s">
        <v>111</v>
      </c>
      <c r="C332" s="53" t="s">
        <v>198</v>
      </c>
      <c r="D332" s="54" t="s">
        <v>205</v>
      </c>
      <c r="E332" s="55" t="s">
        <v>135</v>
      </c>
      <c r="F332" s="56" t="s">
        <v>206</v>
      </c>
      <c r="G332" s="57">
        <v>1</v>
      </c>
      <c r="H332" s="53" t="s">
        <v>116</v>
      </c>
      <c r="I332" s="58" t="s">
        <v>117</v>
      </c>
      <c r="J332" s="59">
        <v>3</v>
      </c>
      <c r="K332" s="60">
        <f>290000+10000+50000+100000</f>
        <v>450000</v>
      </c>
      <c r="L332" s="61">
        <v>0</v>
      </c>
      <c r="M332" s="61">
        <v>0</v>
      </c>
      <c r="N332" s="60">
        <f t="shared" si="55"/>
        <v>450000</v>
      </c>
      <c r="O332" s="61">
        <v>0</v>
      </c>
      <c r="P332" s="61">
        <v>0</v>
      </c>
      <c r="Q332" s="61">
        <v>0</v>
      </c>
      <c r="R332" s="60">
        <f t="shared" si="94"/>
        <v>450000</v>
      </c>
      <c r="S332" s="61">
        <f>45840.1+70163.04+64979.66+25190.57+85159.62+96980.49+21931.55+19987.24+10466.24+5952.15-2492</f>
        <v>444158.66</v>
      </c>
      <c r="T332" s="62">
        <f>S332/R332</f>
        <v>0.98701924444444433</v>
      </c>
      <c r="U332" s="61">
        <f>43330.05+69963.04+46860.66+25708.07+76778.4+106299.21+16774.99+19843.3+13982.8+4177.15+6264.24</f>
        <v>429981.91</v>
      </c>
      <c r="V332" s="62">
        <f>U332/R332</f>
        <v>0.95551535555555545</v>
      </c>
      <c r="W332" s="61">
        <f>43330.05+55402.22+61343.86+25785.69+74771.05+99194.36+25887.19+19843.3+13982.8+4177.15+6264.24</f>
        <v>429981.91</v>
      </c>
      <c r="X332" s="63">
        <f>W332/R332</f>
        <v>0.95551535555555545</v>
      </c>
      <c r="Y332" s="64"/>
    </row>
    <row r="333" spans="1:25" s="65" customFormat="1" ht="39" customHeight="1" x14ac:dyDescent="0.2">
      <c r="A333" s="92" t="s">
        <v>110</v>
      </c>
      <c r="B333" s="52" t="s">
        <v>111</v>
      </c>
      <c r="C333" s="53" t="s">
        <v>198</v>
      </c>
      <c r="D333" s="54" t="s">
        <v>205</v>
      </c>
      <c r="E333" s="55" t="s">
        <v>135</v>
      </c>
      <c r="F333" s="56" t="s">
        <v>206</v>
      </c>
      <c r="G333" s="57">
        <v>1</v>
      </c>
      <c r="H333" s="87" t="s">
        <v>65</v>
      </c>
      <c r="I333" s="88" t="s">
        <v>66</v>
      </c>
      <c r="J333" s="59">
        <v>3</v>
      </c>
      <c r="K333" s="60">
        <v>0</v>
      </c>
      <c r="L333" s="61">
        <f>1265+533477</f>
        <v>534742</v>
      </c>
      <c r="M333" s="61">
        <v>0</v>
      </c>
      <c r="N333" s="60">
        <f t="shared" ref="N333:N334" si="118">K333+L333-M333</f>
        <v>534742</v>
      </c>
      <c r="O333" s="61">
        <f>1265</f>
        <v>1265</v>
      </c>
      <c r="P333" s="61">
        <v>0</v>
      </c>
      <c r="Q333" s="61">
        <v>0</v>
      </c>
      <c r="R333" s="60">
        <f t="shared" si="94"/>
        <v>533477</v>
      </c>
      <c r="S333" s="61">
        <f>4805.75+190683.72+97687.17+87803.66+64133.13</f>
        <v>445113.43000000005</v>
      </c>
      <c r="T333" s="62">
        <f>S333/R333</f>
        <v>0.83436292473714901</v>
      </c>
      <c r="U333" s="61">
        <f>4805.75+108283.56+95520.22+137693.21+35807.58</f>
        <v>382110.32</v>
      </c>
      <c r="V333" s="62">
        <f>U333/R333</f>
        <v>0.71626390641021076</v>
      </c>
      <c r="W333" s="61">
        <f>4805.75+107913.96+79803.78+99384.15+89922.26</f>
        <v>381829.9</v>
      </c>
      <c r="X333" s="63">
        <f>W333/R333</f>
        <v>0.71573826050607625</v>
      </c>
      <c r="Y333" s="64"/>
    </row>
    <row r="334" spans="1:25" s="65" customFormat="1" ht="39" customHeight="1" x14ac:dyDescent="0.2">
      <c r="A334" s="92" t="s">
        <v>110</v>
      </c>
      <c r="B334" s="52" t="s">
        <v>111</v>
      </c>
      <c r="C334" s="53" t="s">
        <v>198</v>
      </c>
      <c r="D334" s="54" t="s">
        <v>205</v>
      </c>
      <c r="E334" s="55" t="s">
        <v>135</v>
      </c>
      <c r="F334" s="56" t="s">
        <v>206</v>
      </c>
      <c r="G334" s="57">
        <v>1</v>
      </c>
      <c r="H334" s="106" t="s">
        <v>118</v>
      </c>
      <c r="I334" s="99" t="s">
        <v>119</v>
      </c>
      <c r="J334" s="59">
        <v>3</v>
      </c>
      <c r="K334" s="60">
        <v>0</v>
      </c>
      <c r="L334" s="61">
        <f>60400</f>
        <v>60400</v>
      </c>
      <c r="M334" s="61">
        <v>0</v>
      </c>
      <c r="N334" s="60">
        <f t="shared" si="118"/>
        <v>60400</v>
      </c>
      <c r="O334" s="61">
        <v>0</v>
      </c>
      <c r="P334" s="61">
        <v>0</v>
      </c>
      <c r="Q334" s="61">
        <v>0</v>
      </c>
      <c r="R334" s="60">
        <f t="shared" si="94"/>
        <v>60400</v>
      </c>
      <c r="S334" s="61">
        <f>19813.09+10773.72+13800+11911.61</f>
        <v>56298.42</v>
      </c>
      <c r="T334" s="62">
        <f>S334/R334</f>
        <v>0.93209304635761592</v>
      </c>
      <c r="U334" s="61">
        <f>19813.09+10773.72+25711.61</f>
        <v>56298.42</v>
      </c>
      <c r="V334" s="62">
        <f>U334/R334</f>
        <v>0.93209304635761592</v>
      </c>
      <c r="W334" s="61">
        <f>19813.09+10773.72+25711.61</f>
        <v>56298.42</v>
      </c>
      <c r="X334" s="63">
        <f>W334/R334</f>
        <v>0.93209304635761592</v>
      </c>
      <c r="Y334" s="64"/>
    </row>
    <row r="335" spans="1:25" s="42" customFormat="1" ht="9" customHeight="1" x14ac:dyDescent="0.2">
      <c r="A335" s="66"/>
      <c r="B335" s="67"/>
      <c r="C335" s="68"/>
      <c r="D335" s="69"/>
      <c r="E335" s="70"/>
      <c r="F335" s="71"/>
      <c r="G335" s="72"/>
      <c r="H335" s="68"/>
      <c r="I335" s="73"/>
      <c r="J335" s="74"/>
      <c r="K335" s="75"/>
      <c r="L335" s="76"/>
      <c r="M335" s="76"/>
      <c r="N335" s="75"/>
      <c r="O335" s="76"/>
      <c r="P335" s="76"/>
      <c r="Q335" s="76"/>
      <c r="R335" s="75"/>
      <c r="S335" s="76"/>
      <c r="T335" s="77"/>
      <c r="U335" s="76"/>
      <c r="V335" s="77"/>
      <c r="W335" s="76"/>
      <c r="X335" s="78"/>
    </row>
    <row r="336" spans="1:25" s="50" customFormat="1" ht="39" customHeight="1" x14ac:dyDescent="0.2">
      <c r="A336" s="100" t="s">
        <v>110</v>
      </c>
      <c r="B336" s="195" t="s">
        <v>111</v>
      </c>
      <c r="C336" s="196"/>
      <c r="D336" s="80" t="s">
        <v>207</v>
      </c>
      <c r="E336" s="81" t="s">
        <v>135</v>
      </c>
      <c r="F336" s="195" t="s">
        <v>208</v>
      </c>
      <c r="G336" s="197"/>
      <c r="H336" s="197"/>
      <c r="I336" s="197"/>
      <c r="J336" s="196"/>
      <c r="K336" s="82">
        <f t="shared" ref="K336:S336" si="119">SUM(K337:K339)</f>
        <v>1029987</v>
      </c>
      <c r="L336" s="82">
        <f>SUM(L337:L339)</f>
        <v>427808</v>
      </c>
      <c r="M336" s="82">
        <f t="shared" si="119"/>
        <v>0</v>
      </c>
      <c r="N336" s="82">
        <f t="shared" si="119"/>
        <v>1457795</v>
      </c>
      <c r="O336" s="82">
        <f t="shared" si="119"/>
        <v>0</v>
      </c>
      <c r="P336" s="82">
        <f t="shared" si="119"/>
        <v>0</v>
      </c>
      <c r="Q336" s="82">
        <f t="shared" si="119"/>
        <v>0</v>
      </c>
      <c r="R336" s="82">
        <f t="shared" si="119"/>
        <v>1457795</v>
      </c>
      <c r="S336" s="82">
        <f t="shared" si="119"/>
        <v>1206541.19</v>
      </c>
      <c r="T336" s="83">
        <f>S336/R336</f>
        <v>0.82764805065184055</v>
      </c>
      <c r="U336" s="82">
        <f>SUM(U337:U339)</f>
        <v>1107790.2800000003</v>
      </c>
      <c r="V336" s="83">
        <f>U336/R336</f>
        <v>0.75990813523163425</v>
      </c>
      <c r="W336" s="82">
        <f>SUM(W337:W339)</f>
        <v>1107790.2800000003</v>
      </c>
      <c r="X336" s="84">
        <f>W336/R336</f>
        <v>0.75990813523163425</v>
      </c>
      <c r="Y336" s="49"/>
    </row>
    <row r="337" spans="1:25" s="65" customFormat="1" ht="39" customHeight="1" x14ac:dyDescent="0.2">
      <c r="A337" s="92" t="s">
        <v>110</v>
      </c>
      <c r="B337" s="52" t="s">
        <v>111</v>
      </c>
      <c r="C337" s="53" t="s">
        <v>209</v>
      </c>
      <c r="D337" s="54" t="s">
        <v>207</v>
      </c>
      <c r="E337" s="55" t="s">
        <v>135</v>
      </c>
      <c r="F337" s="56" t="s">
        <v>208</v>
      </c>
      <c r="G337" s="57">
        <v>1</v>
      </c>
      <c r="H337" s="53" t="s">
        <v>116</v>
      </c>
      <c r="I337" s="58" t="s">
        <v>117</v>
      </c>
      <c r="J337" s="59">
        <v>3</v>
      </c>
      <c r="K337" s="60">
        <f>10000+1019987</f>
        <v>1029987</v>
      </c>
      <c r="L337" s="61">
        <f>50000</f>
        <v>50000</v>
      </c>
      <c r="M337" s="61">
        <v>0</v>
      </c>
      <c r="N337" s="60">
        <f>K337+L337-M337</f>
        <v>1079987</v>
      </c>
      <c r="O337" s="61">
        <v>0</v>
      </c>
      <c r="P337" s="61">
        <v>0</v>
      </c>
      <c r="Q337" s="61">
        <v>0</v>
      </c>
      <c r="R337" s="60">
        <f>N337-O337+P337+Q337</f>
        <v>1079987</v>
      </c>
      <c r="S337" s="61">
        <f>94774.56+20000+38913.4+54624.27+164655.58+115724.33+37634.24+100949.7+114516.74+87436.95</f>
        <v>829229.7699999999</v>
      </c>
      <c r="T337" s="62">
        <f>S337/R337</f>
        <v>0.76781458480518738</v>
      </c>
      <c r="U337" s="61">
        <f>77104.88+36571.54+34732.79+56387.96+141909.33+115121.38+38910.89+96215.27+118128.28+15396.54</f>
        <v>730478.8600000001</v>
      </c>
      <c r="V337" s="62">
        <f>U337/R337</f>
        <v>0.67637745639530855</v>
      </c>
      <c r="W337" s="61">
        <f>73694.01+39982.41+34732.79+55081.85+143215.44+112914.63+41117.64+95902.02+117918.28+15919.79</f>
        <v>730478.8600000001</v>
      </c>
      <c r="X337" s="63">
        <f>W337/R337</f>
        <v>0.67637745639530855</v>
      </c>
      <c r="Y337" s="64"/>
    </row>
    <row r="338" spans="1:25" s="65" customFormat="1" ht="39" customHeight="1" x14ac:dyDescent="0.2">
      <c r="A338" s="92" t="s">
        <v>110</v>
      </c>
      <c r="B338" s="52" t="s">
        <v>111</v>
      </c>
      <c r="C338" s="53" t="s">
        <v>209</v>
      </c>
      <c r="D338" s="54" t="s">
        <v>207</v>
      </c>
      <c r="E338" s="55" t="s">
        <v>135</v>
      </c>
      <c r="F338" s="56" t="s">
        <v>208</v>
      </c>
      <c r="G338" s="57">
        <v>1</v>
      </c>
      <c r="H338" s="87" t="s">
        <v>65</v>
      </c>
      <c r="I338" s="88" t="s">
        <v>66</v>
      </c>
      <c r="J338" s="59">
        <v>3</v>
      </c>
      <c r="K338" s="60">
        <v>0</v>
      </c>
      <c r="L338" s="61">
        <f>326495</f>
        <v>326495</v>
      </c>
      <c r="M338" s="61">
        <v>0</v>
      </c>
      <c r="N338" s="60">
        <f>K338+L338-M338</f>
        <v>326495</v>
      </c>
      <c r="O338" s="61">
        <v>0</v>
      </c>
      <c r="P338" s="61">
        <v>0</v>
      </c>
      <c r="Q338" s="61">
        <v>0</v>
      </c>
      <c r="R338" s="60">
        <f>N338-O338+P338+Q338</f>
        <v>326495</v>
      </c>
      <c r="S338" s="61">
        <f>302680.9+12721.79+2813.04+8010.9</f>
        <v>326226.63</v>
      </c>
      <c r="T338" s="62">
        <f>S338/R338</f>
        <v>0.99917802722859461</v>
      </c>
      <c r="U338" s="61">
        <f>302680.9+12721.79+2813.04+8010.9</f>
        <v>326226.63</v>
      </c>
      <c r="V338" s="62">
        <f>U338/R338</f>
        <v>0.99917802722859461</v>
      </c>
      <c r="W338" s="61">
        <f>302680.9+12721.79+10823.94</f>
        <v>326226.63</v>
      </c>
      <c r="X338" s="63">
        <f>W338/R338</f>
        <v>0.99917802722859461</v>
      </c>
      <c r="Y338" s="64"/>
    </row>
    <row r="339" spans="1:25" s="65" customFormat="1" ht="39" customHeight="1" x14ac:dyDescent="0.2">
      <c r="A339" s="92" t="s">
        <v>110</v>
      </c>
      <c r="B339" s="52" t="s">
        <v>111</v>
      </c>
      <c r="C339" s="53" t="s">
        <v>209</v>
      </c>
      <c r="D339" s="54" t="s">
        <v>207</v>
      </c>
      <c r="E339" s="55" t="s">
        <v>135</v>
      </c>
      <c r="F339" s="56" t="s">
        <v>208</v>
      </c>
      <c r="G339" s="57">
        <v>1</v>
      </c>
      <c r="H339" s="106" t="s">
        <v>118</v>
      </c>
      <c r="I339" s="99" t="s">
        <v>119</v>
      </c>
      <c r="J339" s="59">
        <v>3</v>
      </c>
      <c r="K339" s="60">
        <v>0</v>
      </c>
      <c r="L339" s="61">
        <f>51313</f>
        <v>51313</v>
      </c>
      <c r="M339" s="61">
        <v>0</v>
      </c>
      <c r="N339" s="60">
        <f>K339+L339-M339</f>
        <v>51313</v>
      </c>
      <c r="O339" s="61">
        <f>25760.88-24000-1760.88</f>
        <v>0</v>
      </c>
      <c r="P339" s="61">
        <v>0</v>
      </c>
      <c r="Q339" s="61">
        <v>0</v>
      </c>
      <c r="R339" s="60">
        <f>N339-O339+P339+Q339</f>
        <v>51313</v>
      </c>
      <c r="S339" s="61">
        <f>25551.81+23812.2+1720.78</f>
        <v>51084.79</v>
      </c>
      <c r="T339" s="62">
        <f>S339/R339</f>
        <v>0.99555258901253096</v>
      </c>
      <c r="U339" s="61">
        <f>25551.81+23812.2+1720.78</f>
        <v>51084.79</v>
      </c>
      <c r="V339" s="62">
        <f>U339/R339</f>
        <v>0.99555258901253096</v>
      </c>
      <c r="W339" s="61">
        <f>25551.81+23812.2+1720.78</f>
        <v>51084.79</v>
      </c>
      <c r="X339" s="63">
        <f>W339/R339</f>
        <v>0.99555258901253096</v>
      </c>
      <c r="Y339" s="64"/>
    </row>
    <row r="340" spans="1:25" s="42" customFormat="1" ht="9" customHeight="1" x14ac:dyDescent="0.2">
      <c r="A340" s="66"/>
      <c r="B340" s="67"/>
      <c r="C340" s="68"/>
      <c r="D340" s="69"/>
      <c r="E340" s="70"/>
      <c r="F340" s="71"/>
      <c r="G340" s="72"/>
      <c r="H340" s="68"/>
      <c r="I340" s="73"/>
      <c r="J340" s="74"/>
      <c r="K340" s="75"/>
      <c r="L340" s="76"/>
      <c r="M340" s="76"/>
      <c r="N340" s="75"/>
      <c r="O340" s="76"/>
      <c r="P340" s="76"/>
      <c r="Q340" s="76"/>
      <c r="R340" s="75"/>
      <c r="S340" s="76"/>
      <c r="T340" s="77"/>
      <c r="U340" s="76"/>
      <c r="V340" s="77"/>
      <c r="W340" s="76"/>
      <c r="X340" s="78"/>
    </row>
    <row r="341" spans="1:25" s="105" customFormat="1" ht="39" customHeight="1" x14ac:dyDescent="0.2">
      <c r="A341" s="102" t="s">
        <v>110</v>
      </c>
      <c r="B341" s="192" t="s">
        <v>111</v>
      </c>
      <c r="C341" s="193"/>
      <c r="D341" s="80" t="s">
        <v>210</v>
      </c>
      <c r="E341" s="103" t="s">
        <v>135</v>
      </c>
      <c r="F341" s="192" t="s">
        <v>211</v>
      </c>
      <c r="G341" s="194"/>
      <c r="H341" s="194"/>
      <c r="I341" s="194"/>
      <c r="J341" s="193"/>
      <c r="K341" s="82">
        <f>K342</f>
        <v>1108512</v>
      </c>
      <c r="L341" s="82">
        <f t="shared" ref="L341:S341" si="120">L342</f>
        <v>0</v>
      </c>
      <c r="M341" s="82">
        <f t="shared" si="120"/>
        <v>0</v>
      </c>
      <c r="N341" s="82">
        <f t="shared" si="120"/>
        <v>1108512</v>
      </c>
      <c r="O341" s="82">
        <f t="shared" si="120"/>
        <v>0</v>
      </c>
      <c r="P341" s="82">
        <f t="shared" si="120"/>
        <v>0</v>
      </c>
      <c r="Q341" s="82">
        <f t="shared" si="120"/>
        <v>0</v>
      </c>
      <c r="R341" s="82">
        <f t="shared" si="120"/>
        <v>1108512</v>
      </c>
      <c r="S341" s="82">
        <f t="shared" si="120"/>
        <v>730337.22</v>
      </c>
      <c r="T341" s="83">
        <f>S341/R341</f>
        <v>0.65884466744608983</v>
      </c>
      <c r="U341" s="82">
        <f>U342</f>
        <v>708365.47</v>
      </c>
      <c r="V341" s="83">
        <f t="shared" ref="V341" si="121">U341/R341</f>
        <v>0.63902372730290691</v>
      </c>
      <c r="W341" s="82">
        <f>W342</f>
        <v>705635.47</v>
      </c>
      <c r="X341" s="84">
        <f t="shared" ref="X341:X342" si="122">W341/R341</f>
        <v>0.63656096641263238</v>
      </c>
      <c r="Y341" s="104"/>
    </row>
    <row r="342" spans="1:25" s="65" customFormat="1" ht="39" customHeight="1" x14ac:dyDescent="0.2">
      <c r="A342" s="92" t="s">
        <v>110</v>
      </c>
      <c r="B342" s="52" t="s">
        <v>111</v>
      </c>
      <c r="C342" s="53" t="s">
        <v>212</v>
      </c>
      <c r="D342" s="54" t="s">
        <v>210</v>
      </c>
      <c r="E342" s="55" t="s">
        <v>135</v>
      </c>
      <c r="F342" s="56" t="s">
        <v>211</v>
      </c>
      <c r="G342" s="57">
        <v>1</v>
      </c>
      <c r="H342" s="53" t="s">
        <v>116</v>
      </c>
      <c r="I342" s="58" t="s">
        <v>117</v>
      </c>
      <c r="J342" s="59">
        <v>3</v>
      </c>
      <c r="K342" s="60">
        <v>1108512</v>
      </c>
      <c r="L342" s="61">
        <v>0</v>
      </c>
      <c r="M342" s="61">
        <v>0</v>
      </c>
      <c r="N342" s="60">
        <f t="shared" ref="N342" si="123">K342+L342-M342</f>
        <v>1108512</v>
      </c>
      <c r="O342" s="61">
        <v>0</v>
      </c>
      <c r="P342" s="61">
        <v>0</v>
      </c>
      <c r="Q342" s="61">
        <v>0</v>
      </c>
      <c r="R342" s="60">
        <f t="shared" ref="R342" si="124">N342-O342+P342+Q342</f>
        <v>1108512</v>
      </c>
      <c r="S342" s="61">
        <f>107000+97272.25+4910+76500+61500+80655+48000+42000+82499.97+130000</f>
        <v>730337.22</v>
      </c>
      <c r="T342" s="62">
        <f>S342/R342</f>
        <v>0.65884466744608983</v>
      </c>
      <c r="U342" s="61">
        <f>62730.39+55038.92+86973.34+76380.67+57806.67+83014.67+44396.67+43486.67+80966.41+117571.06</f>
        <v>708365.47</v>
      </c>
      <c r="V342" s="62">
        <f t="shared" si="98"/>
        <v>0.63902372730290691</v>
      </c>
      <c r="W342" s="61">
        <f>14656.51+90369.51+99716.63+34714+99473.34+83014.67+43486.67+43486.67+81876.41+114841.06</f>
        <v>705635.47</v>
      </c>
      <c r="X342" s="63">
        <f t="shared" si="122"/>
        <v>0.63656096641263238</v>
      </c>
      <c r="Y342" s="64"/>
    </row>
    <row r="343" spans="1:25" s="42" customFormat="1" ht="9" customHeight="1" x14ac:dyDescent="0.2">
      <c r="A343" s="66"/>
      <c r="B343" s="67"/>
      <c r="C343" s="68"/>
      <c r="D343" s="69"/>
      <c r="E343" s="70"/>
      <c r="F343" s="71"/>
      <c r="G343" s="72"/>
      <c r="H343" s="68"/>
      <c r="I343" s="73"/>
      <c r="J343" s="74"/>
      <c r="K343" s="75"/>
      <c r="L343" s="76"/>
      <c r="M343" s="76"/>
      <c r="N343" s="75"/>
      <c r="O343" s="76"/>
      <c r="P343" s="76"/>
      <c r="Q343" s="76"/>
      <c r="R343" s="75"/>
      <c r="S343" s="76"/>
      <c r="T343" s="77"/>
      <c r="U343" s="76"/>
      <c r="V343" s="77"/>
      <c r="W343" s="76"/>
      <c r="X343" s="78"/>
    </row>
    <row r="344" spans="1:25" s="105" customFormat="1" ht="39" customHeight="1" x14ac:dyDescent="0.2">
      <c r="A344" s="102" t="s">
        <v>110</v>
      </c>
      <c r="B344" s="192" t="s">
        <v>111</v>
      </c>
      <c r="C344" s="193"/>
      <c r="D344" s="80" t="s">
        <v>213</v>
      </c>
      <c r="E344" s="103" t="s">
        <v>58</v>
      </c>
      <c r="F344" s="192" t="s">
        <v>82</v>
      </c>
      <c r="G344" s="194"/>
      <c r="H344" s="194"/>
      <c r="I344" s="194"/>
      <c r="J344" s="193"/>
      <c r="K344" s="82">
        <f>SUM(K345:K346)</f>
        <v>5744965</v>
      </c>
      <c r="L344" s="82">
        <f t="shared" ref="L344:W344" si="125">SUM(L345:L346)</f>
        <v>1210000</v>
      </c>
      <c r="M344" s="82">
        <f t="shared" si="125"/>
        <v>0</v>
      </c>
      <c r="N344" s="82">
        <f t="shared" si="125"/>
        <v>6954965</v>
      </c>
      <c r="O344" s="82">
        <f t="shared" si="125"/>
        <v>0</v>
      </c>
      <c r="P344" s="82">
        <f t="shared" si="125"/>
        <v>0</v>
      </c>
      <c r="Q344" s="82">
        <f t="shared" si="125"/>
        <v>0</v>
      </c>
      <c r="R344" s="82">
        <f t="shared" si="125"/>
        <v>6954965</v>
      </c>
      <c r="S344" s="82">
        <f t="shared" si="125"/>
        <v>6530465</v>
      </c>
      <c r="T344" s="83">
        <f>S344/R344</f>
        <v>0.93896446639199482</v>
      </c>
      <c r="U344" s="82">
        <f t="shared" si="125"/>
        <v>6529058.4399999995</v>
      </c>
      <c r="V344" s="83">
        <f t="shared" ref="V344" si="126">U344/R344</f>
        <v>0.93876222813486476</v>
      </c>
      <c r="W344" s="82">
        <f t="shared" si="125"/>
        <v>6529058.4399999995</v>
      </c>
      <c r="X344" s="84">
        <f t="shared" ref="X344:X369" si="127">W344/R344</f>
        <v>0.93876222813486476</v>
      </c>
      <c r="Y344" s="104"/>
    </row>
    <row r="345" spans="1:25" s="65" customFormat="1" ht="39" customHeight="1" x14ac:dyDescent="0.2">
      <c r="A345" s="92" t="s">
        <v>110</v>
      </c>
      <c r="B345" s="52" t="s">
        <v>111</v>
      </c>
      <c r="C345" s="53" t="s">
        <v>83</v>
      </c>
      <c r="D345" s="54" t="s">
        <v>213</v>
      </c>
      <c r="E345" s="55" t="s">
        <v>58</v>
      </c>
      <c r="F345" s="56" t="s">
        <v>82</v>
      </c>
      <c r="G345" s="57">
        <v>1</v>
      </c>
      <c r="H345" s="53" t="s">
        <v>116</v>
      </c>
      <c r="I345" s="58" t="s">
        <v>117</v>
      </c>
      <c r="J345" s="59">
        <v>3</v>
      </c>
      <c r="K345" s="60">
        <v>5744965</v>
      </c>
      <c r="L345" s="61">
        <v>0</v>
      </c>
      <c r="M345" s="61">
        <v>0</v>
      </c>
      <c r="N345" s="60">
        <f t="shared" ref="N345:N350" si="128">K345+L345-M345</f>
        <v>5744965</v>
      </c>
      <c r="O345" s="61">
        <v>0</v>
      </c>
      <c r="P345" s="61">
        <v>0</v>
      </c>
      <c r="Q345" s="61">
        <v>0</v>
      </c>
      <c r="R345" s="60">
        <f t="shared" ref="R345:R369" si="129">N345-O345+P345+Q345</f>
        <v>5744965</v>
      </c>
      <c r="S345" s="61">
        <f>582450+581450+318295.34+751000+690000+712000+718000+719000-26242.07+699011.73</f>
        <v>5744965</v>
      </c>
      <c r="T345" s="62">
        <f>S345/R345</f>
        <v>1</v>
      </c>
      <c r="U345" s="61">
        <f>582447.06+580890.22+318295.34+729197.98+687814.28+711532.62+717463.21+718312.56+698940.26</f>
        <v>5744893.5299999993</v>
      </c>
      <c r="V345" s="62">
        <f t="shared" si="98"/>
        <v>0.99998755954126772</v>
      </c>
      <c r="W345" s="61">
        <f>582447.06+580890.22+318295.34+729197.98+687814.28+711532.62+717463.21+718312.56+698940.26</f>
        <v>5744893.5299999993</v>
      </c>
      <c r="X345" s="63">
        <f t="shared" si="127"/>
        <v>0.99998755954126772</v>
      </c>
      <c r="Y345" s="64"/>
    </row>
    <row r="346" spans="1:25" s="65" customFormat="1" ht="39" customHeight="1" x14ac:dyDescent="0.2">
      <c r="A346" s="92" t="s">
        <v>110</v>
      </c>
      <c r="B346" s="52" t="s">
        <v>111</v>
      </c>
      <c r="C346" s="53" t="s">
        <v>83</v>
      </c>
      <c r="D346" s="54" t="s">
        <v>213</v>
      </c>
      <c r="E346" s="55" t="s">
        <v>58</v>
      </c>
      <c r="F346" s="56" t="s">
        <v>82</v>
      </c>
      <c r="G346" s="57">
        <v>1</v>
      </c>
      <c r="H346" s="85" t="s">
        <v>63</v>
      </c>
      <c r="I346" s="86" t="s">
        <v>64</v>
      </c>
      <c r="J346" s="59">
        <v>3</v>
      </c>
      <c r="K346" s="60">
        <v>0</v>
      </c>
      <c r="L346" s="61">
        <f>1210000</f>
        <v>1210000</v>
      </c>
      <c r="M346" s="61">
        <v>0</v>
      </c>
      <c r="N346" s="60">
        <f t="shared" si="128"/>
        <v>1210000</v>
      </c>
      <c r="O346" s="61">
        <v>0</v>
      </c>
      <c r="P346" s="61">
        <v>0</v>
      </c>
      <c r="Q346" s="61">
        <v>0</v>
      </c>
      <c r="R346" s="60">
        <f t="shared" si="129"/>
        <v>1210000</v>
      </c>
      <c r="S346" s="61">
        <f>785500</f>
        <v>785500</v>
      </c>
      <c r="T346" s="62">
        <f>S346/R346</f>
        <v>0.64917355371900831</v>
      </c>
      <c r="U346" s="61">
        <f>784164.91</f>
        <v>784164.91</v>
      </c>
      <c r="V346" s="62">
        <f t="shared" si="98"/>
        <v>0.64807017355371899</v>
      </c>
      <c r="W346" s="61">
        <f>784164.91</f>
        <v>784164.91</v>
      </c>
      <c r="X346" s="63">
        <f t="shared" si="127"/>
        <v>0.64807017355371899</v>
      </c>
      <c r="Y346" s="64"/>
    </row>
    <row r="347" spans="1:25" s="42" customFormat="1" ht="9" customHeight="1" x14ac:dyDescent="0.2">
      <c r="A347" s="66"/>
      <c r="B347" s="67"/>
      <c r="C347" s="68"/>
      <c r="D347" s="69"/>
      <c r="E347" s="70"/>
      <c r="F347" s="71"/>
      <c r="G347" s="72"/>
      <c r="H347" s="68"/>
      <c r="I347" s="73"/>
      <c r="J347" s="74"/>
      <c r="K347" s="75"/>
      <c r="L347" s="76"/>
      <c r="M347" s="76"/>
      <c r="N347" s="75"/>
      <c r="O347" s="76"/>
      <c r="P347" s="76"/>
      <c r="Q347" s="76"/>
      <c r="R347" s="75"/>
      <c r="S347" s="76"/>
      <c r="T347" s="77"/>
      <c r="U347" s="76"/>
      <c r="V347" s="77"/>
      <c r="W347" s="76"/>
      <c r="X347" s="78"/>
    </row>
    <row r="348" spans="1:25" s="105" customFormat="1" ht="39" customHeight="1" x14ac:dyDescent="0.2">
      <c r="A348" s="102" t="s">
        <v>110</v>
      </c>
      <c r="B348" s="192" t="s">
        <v>111</v>
      </c>
      <c r="C348" s="193"/>
      <c r="D348" s="80" t="s">
        <v>214</v>
      </c>
      <c r="E348" s="103" t="s">
        <v>58</v>
      </c>
      <c r="F348" s="192" t="s">
        <v>85</v>
      </c>
      <c r="G348" s="194"/>
      <c r="H348" s="194"/>
      <c r="I348" s="194"/>
      <c r="J348" s="193"/>
      <c r="K348" s="82">
        <f>SUM(K349:K350)</f>
        <v>405370</v>
      </c>
      <c r="L348" s="82">
        <f t="shared" ref="L348:W348" si="130">SUM(L349:L350)</f>
        <v>250000</v>
      </c>
      <c r="M348" s="82">
        <f t="shared" si="130"/>
        <v>0</v>
      </c>
      <c r="N348" s="82">
        <f t="shared" si="130"/>
        <v>655370</v>
      </c>
      <c r="O348" s="82">
        <f t="shared" si="130"/>
        <v>0</v>
      </c>
      <c r="P348" s="82">
        <f t="shared" si="130"/>
        <v>0</v>
      </c>
      <c r="Q348" s="82">
        <f t="shared" si="130"/>
        <v>0</v>
      </c>
      <c r="R348" s="82">
        <f t="shared" si="130"/>
        <v>655370</v>
      </c>
      <c r="S348" s="82">
        <f t="shared" si="130"/>
        <v>548985.45000000007</v>
      </c>
      <c r="T348" s="83">
        <f>S348/R348</f>
        <v>0.83767253612463199</v>
      </c>
      <c r="U348" s="82">
        <f t="shared" si="130"/>
        <v>547537.44000000006</v>
      </c>
      <c r="V348" s="83">
        <f t="shared" ref="V348" si="131">U348/R348</f>
        <v>0.83546308192318852</v>
      </c>
      <c r="W348" s="82">
        <f t="shared" si="130"/>
        <v>547537.44000000006</v>
      </c>
      <c r="X348" s="84">
        <f t="shared" ref="X348" si="132">W348/R348</f>
        <v>0.83546308192318852</v>
      </c>
      <c r="Y348" s="104"/>
    </row>
    <row r="349" spans="1:25" s="65" customFormat="1" ht="39" customHeight="1" x14ac:dyDescent="0.2">
      <c r="A349" s="92" t="s">
        <v>110</v>
      </c>
      <c r="B349" s="52" t="s">
        <v>111</v>
      </c>
      <c r="C349" s="53" t="s">
        <v>83</v>
      </c>
      <c r="D349" s="54" t="s">
        <v>214</v>
      </c>
      <c r="E349" s="55" t="s">
        <v>58</v>
      </c>
      <c r="F349" s="56" t="s">
        <v>85</v>
      </c>
      <c r="G349" s="57">
        <v>1</v>
      </c>
      <c r="H349" s="53" t="s">
        <v>116</v>
      </c>
      <c r="I349" s="58" t="s">
        <v>117</v>
      </c>
      <c r="J349" s="59">
        <v>3</v>
      </c>
      <c r="K349" s="60">
        <v>405370</v>
      </c>
      <c r="L349" s="61">
        <v>0</v>
      </c>
      <c r="M349" s="61">
        <v>0</v>
      </c>
      <c r="N349" s="60">
        <f t="shared" si="128"/>
        <v>405370</v>
      </c>
      <c r="O349" s="61">
        <v>0</v>
      </c>
      <c r="P349" s="61">
        <v>0</v>
      </c>
      <c r="Q349" s="61">
        <v>0</v>
      </c>
      <c r="R349" s="60">
        <f t="shared" si="129"/>
        <v>405370</v>
      </c>
      <c r="S349" s="61">
        <f>52000+50000+60168.78+63000+60000+60000+60000-2682.16+2619.62</f>
        <v>405106.24000000005</v>
      </c>
      <c r="T349" s="62">
        <f>S349/R349</f>
        <v>0.99934933517527214</v>
      </c>
      <c r="U349" s="61">
        <f>51925.47+49920.81+60168.78+61668.08+59489.7+59891.39+59422.39+2619.62</f>
        <v>405106.24000000005</v>
      </c>
      <c r="V349" s="62">
        <f t="shared" si="98"/>
        <v>0.99934933517527214</v>
      </c>
      <c r="W349" s="61">
        <f>51925.47+49920.81+60168.78+61668.08+59489.7+59891.39+59422.39+2619.62</f>
        <v>405106.24000000005</v>
      </c>
      <c r="X349" s="63">
        <f t="shared" si="127"/>
        <v>0.99934933517527214</v>
      </c>
      <c r="Y349" s="64"/>
    </row>
    <row r="350" spans="1:25" s="65" customFormat="1" ht="39" customHeight="1" x14ac:dyDescent="0.2">
      <c r="A350" s="92" t="s">
        <v>110</v>
      </c>
      <c r="B350" s="52" t="s">
        <v>111</v>
      </c>
      <c r="C350" s="53" t="s">
        <v>83</v>
      </c>
      <c r="D350" s="54" t="s">
        <v>214</v>
      </c>
      <c r="E350" s="55" t="s">
        <v>58</v>
      </c>
      <c r="F350" s="56" t="s">
        <v>85</v>
      </c>
      <c r="G350" s="57">
        <v>1</v>
      </c>
      <c r="H350" s="85" t="s">
        <v>63</v>
      </c>
      <c r="I350" s="86" t="s">
        <v>64</v>
      </c>
      <c r="J350" s="59">
        <v>3</v>
      </c>
      <c r="K350" s="60">
        <v>0</v>
      </c>
      <c r="L350" s="61">
        <f>250000</f>
        <v>250000</v>
      </c>
      <c r="M350" s="61">
        <v>0</v>
      </c>
      <c r="N350" s="60">
        <f t="shared" si="128"/>
        <v>250000</v>
      </c>
      <c r="O350" s="61">
        <v>0</v>
      </c>
      <c r="P350" s="61">
        <v>0</v>
      </c>
      <c r="Q350" s="61">
        <v>0</v>
      </c>
      <c r="R350" s="60">
        <f t="shared" si="129"/>
        <v>250000</v>
      </c>
      <c r="S350" s="61">
        <f>143879.21</f>
        <v>143879.21</v>
      </c>
      <c r="T350" s="62">
        <f>S350/R350</f>
        <v>0.57551683999999992</v>
      </c>
      <c r="U350" s="61">
        <f>142431.2</f>
        <v>142431.20000000001</v>
      </c>
      <c r="V350" s="62">
        <f t="shared" si="98"/>
        <v>0.56972480000000003</v>
      </c>
      <c r="W350" s="61">
        <f>142431.2</f>
        <v>142431.20000000001</v>
      </c>
      <c r="X350" s="63">
        <f t="shared" si="127"/>
        <v>0.56972480000000003</v>
      </c>
      <c r="Y350" s="64"/>
    </row>
    <row r="351" spans="1:25" s="42" customFormat="1" ht="9" customHeight="1" x14ac:dyDescent="0.2">
      <c r="A351" s="66"/>
      <c r="B351" s="67"/>
      <c r="C351" s="68"/>
      <c r="D351" s="69"/>
      <c r="E351" s="70"/>
      <c r="F351" s="71"/>
      <c r="G351" s="72"/>
      <c r="H351" s="68"/>
      <c r="I351" s="73"/>
      <c r="J351" s="74"/>
      <c r="K351" s="75"/>
      <c r="L351" s="76"/>
      <c r="M351" s="76"/>
      <c r="N351" s="75"/>
      <c r="O351" s="76"/>
      <c r="P351" s="76"/>
      <c r="Q351" s="76"/>
      <c r="R351" s="75"/>
      <c r="S351" s="76"/>
      <c r="T351" s="77"/>
      <c r="U351" s="76"/>
      <c r="V351" s="77"/>
      <c r="W351" s="76"/>
      <c r="X351" s="78"/>
    </row>
    <row r="352" spans="1:25" s="105" customFormat="1" ht="39" customHeight="1" x14ac:dyDescent="0.2">
      <c r="A352" s="102" t="s">
        <v>110</v>
      </c>
      <c r="B352" s="192" t="s">
        <v>111</v>
      </c>
      <c r="C352" s="193"/>
      <c r="D352" s="80" t="s">
        <v>215</v>
      </c>
      <c r="E352" s="103" t="s">
        <v>58</v>
      </c>
      <c r="F352" s="192" t="s">
        <v>87</v>
      </c>
      <c r="G352" s="194"/>
      <c r="H352" s="194"/>
      <c r="I352" s="194"/>
      <c r="J352" s="193"/>
      <c r="K352" s="82">
        <f>SUM(K353:K354)</f>
        <v>1967135</v>
      </c>
      <c r="L352" s="82">
        <f t="shared" ref="L352:W352" si="133">SUM(L353:L354)</f>
        <v>980000</v>
      </c>
      <c r="M352" s="82">
        <f t="shared" si="133"/>
        <v>0</v>
      </c>
      <c r="N352" s="82">
        <f t="shared" si="133"/>
        <v>2947135</v>
      </c>
      <c r="O352" s="82">
        <f t="shared" si="133"/>
        <v>0</v>
      </c>
      <c r="P352" s="82">
        <f t="shared" si="133"/>
        <v>0</v>
      </c>
      <c r="Q352" s="82">
        <f t="shared" si="133"/>
        <v>0</v>
      </c>
      <c r="R352" s="82">
        <f t="shared" si="133"/>
        <v>2947135</v>
      </c>
      <c r="S352" s="82">
        <f t="shared" si="133"/>
        <v>2518619.91</v>
      </c>
      <c r="T352" s="83">
        <f>S352/R352</f>
        <v>0.8545994364017937</v>
      </c>
      <c r="U352" s="82">
        <f t="shared" si="133"/>
        <v>2515933.1800000002</v>
      </c>
      <c r="V352" s="83">
        <f t="shared" ref="V352" si="134">U352/R352</f>
        <v>0.85368779509591519</v>
      </c>
      <c r="W352" s="82">
        <f t="shared" si="133"/>
        <v>2515933.1799999997</v>
      </c>
      <c r="X352" s="84">
        <f t="shared" ref="X352" si="135">W352/R352</f>
        <v>0.85368779509591508</v>
      </c>
      <c r="Y352" s="104"/>
    </row>
    <row r="353" spans="1:25" s="65" customFormat="1" ht="39" customHeight="1" x14ac:dyDescent="0.2">
      <c r="A353" s="92" t="s">
        <v>110</v>
      </c>
      <c r="B353" s="52" t="s">
        <v>111</v>
      </c>
      <c r="C353" s="53" t="s">
        <v>83</v>
      </c>
      <c r="D353" s="54" t="s">
        <v>215</v>
      </c>
      <c r="E353" s="55" t="s">
        <v>58</v>
      </c>
      <c r="F353" s="56" t="s">
        <v>87</v>
      </c>
      <c r="G353" s="57">
        <v>1</v>
      </c>
      <c r="H353" s="53" t="s">
        <v>116</v>
      </c>
      <c r="I353" s="58" t="s">
        <v>117</v>
      </c>
      <c r="J353" s="59">
        <v>3</v>
      </c>
      <c r="K353" s="60">
        <v>1967135</v>
      </c>
      <c r="L353" s="61">
        <v>0</v>
      </c>
      <c r="M353" s="61">
        <v>0</v>
      </c>
      <c r="N353" s="60">
        <f>K353+L353-M353</f>
        <v>1967135</v>
      </c>
      <c r="O353" s="61">
        <v>0</v>
      </c>
      <c r="P353" s="61">
        <v>0</v>
      </c>
      <c r="Q353" s="61">
        <v>0</v>
      </c>
      <c r="R353" s="60">
        <f t="shared" si="129"/>
        <v>1967135</v>
      </c>
      <c r="S353" s="61">
        <f>237560+234000+324911.38+301000+290000+283000+280000-101351.47+118015</f>
        <v>1967134.91</v>
      </c>
      <c r="T353" s="62">
        <f t="shared" ref="T353:T354" si="136">S353/R353</f>
        <v>0.99999995424818322</v>
      </c>
      <c r="U353" s="61">
        <f>237557.2+234000+324911.38+154940.36+284178.42+283094.48+279438.07+49582.51+117161.02</f>
        <v>1964863.4400000002</v>
      </c>
      <c r="V353" s="62">
        <f t="shared" si="98"/>
        <v>0.99884524447991629</v>
      </c>
      <c r="W353" s="61">
        <f>237557.2+234000+170412.83+309438.91+284178.42+283094.48+279438.07+49582.51+117161.02</f>
        <v>1964863.44</v>
      </c>
      <c r="X353" s="63">
        <f t="shared" si="127"/>
        <v>0.99884524447991618</v>
      </c>
      <c r="Y353" s="64"/>
    </row>
    <row r="354" spans="1:25" s="65" customFormat="1" ht="39" customHeight="1" x14ac:dyDescent="0.2">
      <c r="A354" s="92" t="s">
        <v>110</v>
      </c>
      <c r="B354" s="52" t="s">
        <v>111</v>
      </c>
      <c r="C354" s="53" t="s">
        <v>83</v>
      </c>
      <c r="D354" s="54" t="s">
        <v>215</v>
      </c>
      <c r="E354" s="55" t="s">
        <v>58</v>
      </c>
      <c r="F354" s="56" t="s">
        <v>87</v>
      </c>
      <c r="G354" s="57">
        <v>1</v>
      </c>
      <c r="H354" s="85" t="s">
        <v>63</v>
      </c>
      <c r="I354" s="86" t="s">
        <v>64</v>
      </c>
      <c r="J354" s="59">
        <v>3</v>
      </c>
      <c r="K354" s="60">
        <v>0</v>
      </c>
      <c r="L354" s="61">
        <f>980000</f>
        <v>980000</v>
      </c>
      <c r="M354" s="61">
        <v>0</v>
      </c>
      <c r="N354" s="60">
        <f>K354+L354-M354</f>
        <v>980000</v>
      </c>
      <c r="O354" s="61">
        <v>0</v>
      </c>
      <c r="P354" s="61">
        <v>0</v>
      </c>
      <c r="Q354" s="61">
        <v>0</v>
      </c>
      <c r="R354" s="60">
        <f t="shared" si="129"/>
        <v>980000</v>
      </c>
      <c r="S354" s="61">
        <f>551485</f>
        <v>551485</v>
      </c>
      <c r="T354" s="62">
        <f t="shared" si="136"/>
        <v>0.56273979591836731</v>
      </c>
      <c r="U354" s="61">
        <f>551069.74</f>
        <v>551069.74</v>
      </c>
      <c r="V354" s="62">
        <f t="shared" si="98"/>
        <v>0.56231606122448974</v>
      </c>
      <c r="W354" s="61">
        <f>551069.74</f>
        <v>551069.74</v>
      </c>
      <c r="X354" s="63">
        <f t="shared" si="127"/>
        <v>0.56231606122448974</v>
      </c>
      <c r="Y354" s="64"/>
    </row>
    <row r="355" spans="1:25" s="42" customFormat="1" ht="9" customHeight="1" x14ac:dyDescent="0.2">
      <c r="A355" s="66"/>
      <c r="B355" s="67"/>
      <c r="C355" s="68"/>
      <c r="D355" s="69"/>
      <c r="E355" s="70"/>
      <c r="F355" s="71"/>
      <c r="G355" s="72"/>
      <c r="H355" s="68"/>
      <c r="I355" s="73"/>
      <c r="J355" s="74"/>
      <c r="K355" s="75"/>
      <c r="L355" s="76"/>
      <c r="M355" s="76"/>
      <c r="N355" s="75"/>
      <c r="O355" s="76"/>
      <c r="P355" s="76"/>
      <c r="Q355" s="76"/>
      <c r="R355" s="75"/>
      <c r="S355" s="76"/>
      <c r="T355" s="77"/>
      <c r="U355" s="76"/>
      <c r="V355" s="77"/>
      <c r="W355" s="76"/>
      <c r="X355" s="78"/>
    </row>
    <row r="356" spans="1:25" s="105" customFormat="1" ht="39" customHeight="1" x14ac:dyDescent="0.2">
      <c r="A356" s="102" t="s">
        <v>110</v>
      </c>
      <c r="B356" s="192" t="s">
        <v>111</v>
      </c>
      <c r="C356" s="193"/>
      <c r="D356" s="80" t="s">
        <v>216</v>
      </c>
      <c r="E356" s="103" t="s">
        <v>58</v>
      </c>
      <c r="F356" s="192" t="s">
        <v>217</v>
      </c>
      <c r="G356" s="194"/>
      <c r="H356" s="194"/>
      <c r="I356" s="194"/>
      <c r="J356" s="193"/>
      <c r="K356" s="82">
        <f>SUM(K357:K359)</f>
        <v>195000</v>
      </c>
      <c r="L356" s="82">
        <f t="shared" ref="L356:S356" si="137">SUM(L357:L359)</f>
        <v>105597</v>
      </c>
      <c r="M356" s="82">
        <f t="shared" si="137"/>
        <v>0</v>
      </c>
      <c r="N356" s="82">
        <f t="shared" si="137"/>
        <v>300597</v>
      </c>
      <c r="O356" s="82">
        <f t="shared" si="137"/>
        <v>99437</v>
      </c>
      <c r="P356" s="82">
        <f t="shared" si="137"/>
        <v>0</v>
      </c>
      <c r="Q356" s="82">
        <f t="shared" si="137"/>
        <v>0</v>
      </c>
      <c r="R356" s="82">
        <f t="shared" si="137"/>
        <v>201160</v>
      </c>
      <c r="S356" s="82">
        <f t="shared" si="137"/>
        <v>130643.62000000001</v>
      </c>
      <c r="T356" s="83">
        <f>S356/R356</f>
        <v>0.64945128256114537</v>
      </c>
      <c r="U356" s="82">
        <f>SUM(U357:U359)</f>
        <v>108454.20999999999</v>
      </c>
      <c r="V356" s="83">
        <f t="shared" ref="V356" si="138">U356/R356</f>
        <v>0.53914401471465501</v>
      </c>
      <c r="W356" s="82">
        <f>SUM(W357:W359)</f>
        <v>106167.33</v>
      </c>
      <c r="X356" s="84">
        <f t="shared" ref="X356" si="139">W356/R356</f>
        <v>0.52777555179956259</v>
      </c>
      <c r="Y356" s="104"/>
    </row>
    <row r="357" spans="1:25" s="65" customFormat="1" ht="39" customHeight="1" x14ac:dyDescent="0.2">
      <c r="A357" s="92" t="s">
        <v>110</v>
      </c>
      <c r="B357" s="52" t="s">
        <v>111</v>
      </c>
      <c r="C357" s="53" t="s">
        <v>90</v>
      </c>
      <c r="D357" s="54" t="s">
        <v>216</v>
      </c>
      <c r="E357" s="55" t="s">
        <v>58</v>
      </c>
      <c r="F357" s="56" t="s">
        <v>217</v>
      </c>
      <c r="G357" s="57">
        <v>1</v>
      </c>
      <c r="H357" s="53" t="s">
        <v>53</v>
      </c>
      <c r="I357" s="58" t="s">
        <v>54</v>
      </c>
      <c r="J357" s="59">
        <v>4</v>
      </c>
      <c r="K357" s="60">
        <v>20000</v>
      </c>
      <c r="L357" s="61">
        <v>0</v>
      </c>
      <c r="M357" s="61">
        <v>0</v>
      </c>
      <c r="N357" s="60">
        <f>K357+L357-M357</f>
        <v>20000</v>
      </c>
      <c r="O357" s="61">
        <v>0</v>
      </c>
      <c r="P357" s="61">
        <v>0</v>
      </c>
      <c r="Q357" s="61">
        <v>0</v>
      </c>
      <c r="R357" s="60">
        <f>N357-O357+P357+Q357</f>
        <v>20000</v>
      </c>
      <c r="S357" s="61">
        <v>0</v>
      </c>
      <c r="T357" s="62">
        <f>S357/R357</f>
        <v>0</v>
      </c>
      <c r="U357" s="61">
        <v>0</v>
      </c>
      <c r="V357" s="62">
        <f t="shared" si="98"/>
        <v>0</v>
      </c>
      <c r="W357" s="61">
        <v>0</v>
      </c>
      <c r="X357" s="63">
        <f t="shared" si="127"/>
        <v>0</v>
      </c>
      <c r="Y357" s="64"/>
    </row>
    <row r="358" spans="1:25" s="65" customFormat="1" ht="39" customHeight="1" x14ac:dyDescent="0.2">
      <c r="A358" s="92" t="s">
        <v>110</v>
      </c>
      <c r="B358" s="52" t="s">
        <v>111</v>
      </c>
      <c r="C358" s="111" t="s">
        <v>90</v>
      </c>
      <c r="D358" s="54" t="s">
        <v>216</v>
      </c>
      <c r="E358" s="112" t="s">
        <v>58</v>
      </c>
      <c r="F358" s="113" t="s">
        <v>217</v>
      </c>
      <c r="G358" s="57">
        <v>1</v>
      </c>
      <c r="H358" s="53" t="s">
        <v>116</v>
      </c>
      <c r="I358" s="58" t="s">
        <v>117</v>
      </c>
      <c r="J358" s="59">
        <v>3</v>
      </c>
      <c r="K358" s="60">
        <f>50000+125000</f>
        <v>175000</v>
      </c>
      <c r="L358" s="60">
        <v>0</v>
      </c>
      <c r="M358" s="60">
        <v>0</v>
      </c>
      <c r="N358" s="60">
        <f>K358+L358-M358</f>
        <v>175000</v>
      </c>
      <c r="O358" s="60">
        <v>0</v>
      </c>
      <c r="P358" s="60">
        <v>0</v>
      </c>
      <c r="Q358" s="60">
        <v>0</v>
      </c>
      <c r="R358" s="60">
        <f>N358-O358+P358+Q358</f>
        <v>175000</v>
      </c>
      <c r="S358" s="60">
        <f>31903.55+7100+2365.72+6678.58+3800+24532.35+7073.3+5000+9190+26846.14</f>
        <v>124489.64000000001</v>
      </c>
      <c r="T358" s="62">
        <f>S358/R358</f>
        <v>0.71136937142857148</v>
      </c>
      <c r="U358" s="60">
        <f>25972.71+6005.5+4959.7+7978.28+2242.8+7942.32+7583.54+18982.66+12536.27+8096.45</f>
        <v>102300.23</v>
      </c>
      <c r="V358" s="62">
        <f t="shared" si="98"/>
        <v>0.58457274285714278</v>
      </c>
      <c r="W358" s="60">
        <f>21204.03+9202.15+5744.57+5013.18+5541.53+8395.85+6009.68+20556.52+12536.27+5809.57</f>
        <v>100013.35</v>
      </c>
      <c r="X358" s="63">
        <f t="shared" si="127"/>
        <v>0.57150485714285715</v>
      </c>
      <c r="Y358" s="64"/>
    </row>
    <row r="359" spans="1:25" s="65" customFormat="1" ht="39" customHeight="1" x14ac:dyDescent="0.2">
      <c r="A359" s="92" t="s">
        <v>110</v>
      </c>
      <c r="B359" s="52" t="s">
        <v>111</v>
      </c>
      <c r="C359" s="53" t="s">
        <v>90</v>
      </c>
      <c r="D359" s="54" t="s">
        <v>216</v>
      </c>
      <c r="E359" s="55" t="s">
        <v>58</v>
      </c>
      <c r="F359" s="56" t="s">
        <v>217</v>
      </c>
      <c r="G359" s="95">
        <v>1</v>
      </c>
      <c r="H359" s="87" t="s">
        <v>65</v>
      </c>
      <c r="I359" s="88" t="s">
        <v>66</v>
      </c>
      <c r="J359" s="96">
        <v>3</v>
      </c>
      <c r="K359" s="61">
        <v>0</v>
      </c>
      <c r="L359" s="61">
        <f>105597</f>
        <v>105597</v>
      </c>
      <c r="M359" s="61">
        <v>0</v>
      </c>
      <c r="N359" s="60">
        <f>K359+L359-M359</f>
        <v>105597</v>
      </c>
      <c r="O359" s="61">
        <f>105597-6160</f>
        <v>99437</v>
      </c>
      <c r="P359" s="61">
        <v>0</v>
      </c>
      <c r="Q359" s="61">
        <v>0</v>
      </c>
      <c r="R359" s="60">
        <f>N359-O359+P359+Q359</f>
        <v>6160</v>
      </c>
      <c r="S359" s="61">
        <f>6153.98</f>
        <v>6153.98</v>
      </c>
      <c r="T359" s="62">
        <f>S359/R359</f>
        <v>0.99902272727272723</v>
      </c>
      <c r="U359" s="61">
        <f>6153.98</f>
        <v>6153.98</v>
      </c>
      <c r="V359" s="62">
        <f t="shared" si="98"/>
        <v>0.99902272727272723</v>
      </c>
      <c r="W359" s="61">
        <f>6153.98</f>
        <v>6153.98</v>
      </c>
      <c r="X359" s="63">
        <f t="shared" si="127"/>
        <v>0.99902272727272723</v>
      </c>
      <c r="Y359" s="64"/>
    </row>
    <row r="360" spans="1:25" s="42" customFormat="1" ht="9" customHeight="1" x14ac:dyDescent="0.2">
      <c r="A360" s="66"/>
      <c r="B360" s="67"/>
      <c r="C360" s="68"/>
      <c r="D360" s="69"/>
      <c r="E360" s="70"/>
      <c r="F360" s="71"/>
      <c r="G360" s="72"/>
      <c r="H360" s="68"/>
      <c r="I360" s="73"/>
      <c r="J360" s="74"/>
      <c r="K360" s="75"/>
      <c r="L360" s="76"/>
      <c r="M360" s="76"/>
      <c r="N360" s="75"/>
      <c r="O360" s="76"/>
      <c r="P360" s="76"/>
      <c r="Q360" s="76"/>
      <c r="R360" s="75"/>
      <c r="S360" s="76"/>
      <c r="T360" s="77"/>
      <c r="U360" s="76"/>
      <c r="V360" s="77"/>
      <c r="W360" s="76"/>
      <c r="X360" s="78"/>
    </row>
    <row r="361" spans="1:25" s="105" customFormat="1" ht="39" customHeight="1" x14ac:dyDescent="0.2">
      <c r="A361" s="114" t="s">
        <v>110</v>
      </c>
      <c r="B361" s="192" t="s">
        <v>111</v>
      </c>
      <c r="C361" s="193"/>
      <c r="D361" s="80" t="s">
        <v>218</v>
      </c>
      <c r="E361" s="103" t="s">
        <v>58</v>
      </c>
      <c r="F361" s="192" t="s">
        <v>89</v>
      </c>
      <c r="G361" s="194"/>
      <c r="H361" s="194"/>
      <c r="I361" s="194"/>
      <c r="J361" s="193"/>
      <c r="K361" s="82">
        <f>SUM(K362:K363)</f>
        <v>21903637</v>
      </c>
      <c r="L361" s="82">
        <f t="shared" ref="L361:W361" si="140">SUM(L362:L363)</f>
        <v>2550000</v>
      </c>
      <c r="M361" s="82">
        <f t="shared" si="140"/>
        <v>0</v>
      </c>
      <c r="N361" s="82">
        <f t="shared" si="140"/>
        <v>24453637</v>
      </c>
      <c r="O361" s="82">
        <f t="shared" si="140"/>
        <v>0</v>
      </c>
      <c r="P361" s="82">
        <f t="shared" si="140"/>
        <v>0</v>
      </c>
      <c r="Q361" s="82">
        <f t="shared" si="140"/>
        <v>0</v>
      </c>
      <c r="R361" s="82">
        <f t="shared" si="140"/>
        <v>24453637</v>
      </c>
      <c r="S361" s="82">
        <f t="shared" si="140"/>
        <v>22048706.5</v>
      </c>
      <c r="T361" s="83">
        <f>S361/R361</f>
        <v>0.90165346365450671</v>
      </c>
      <c r="U361" s="82">
        <f t="shared" si="140"/>
        <v>22048706.5</v>
      </c>
      <c r="V361" s="83">
        <f t="shared" ref="V361" si="141">U361/R361</f>
        <v>0.90165346365450671</v>
      </c>
      <c r="W361" s="82">
        <f t="shared" si="140"/>
        <v>22048706.5</v>
      </c>
      <c r="X361" s="84">
        <f t="shared" ref="X361" si="142">W361/R361</f>
        <v>0.90165346365450671</v>
      </c>
      <c r="Y361" s="104"/>
    </row>
    <row r="362" spans="1:25" s="65" customFormat="1" ht="39" customHeight="1" x14ac:dyDescent="0.2">
      <c r="A362" s="51" t="s">
        <v>110</v>
      </c>
      <c r="B362" s="52" t="s">
        <v>111</v>
      </c>
      <c r="C362" s="53" t="s">
        <v>90</v>
      </c>
      <c r="D362" s="54" t="s">
        <v>218</v>
      </c>
      <c r="E362" s="55" t="s">
        <v>58</v>
      </c>
      <c r="F362" s="56" t="s">
        <v>89</v>
      </c>
      <c r="G362" s="57">
        <v>1</v>
      </c>
      <c r="H362" s="53" t="s">
        <v>116</v>
      </c>
      <c r="I362" s="58" t="s">
        <v>117</v>
      </c>
      <c r="J362" s="59">
        <v>3</v>
      </c>
      <c r="K362" s="60">
        <v>21903637</v>
      </c>
      <c r="L362" s="61">
        <v>0</v>
      </c>
      <c r="M362" s="61">
        <v>0</v>
      </c>
      <c r="N362" s="60">
        <f t="shared" ref="N362:N369" si="143">K362+L362-M362</f>
        <v>21903637</v>
      </c>
      <c r="O362" s="61">
        <v>0</v>
      </c>
      <c r="P362" s="61">
        <v>0</v>
      </c>
      <c r="Q362" s="61">
        <v>0</v>
      </c>
      <c r="R362" s="60">
        <f t="shared" si="129"/>
        <v>21903637</v>
      </c>
      <c r="S362" s="61">
        <f>1000000+2500000+2500000+2000000+2000000+2000000+3810867.42+2600000+2000000+1492000</f>
        <v>21902867.420000002</v>
      </c>
      <c r="T362" s="62">
        <f>S362/R362</f>
        <v>0.99996486519567507</v>
      </c>
      <c r="U362" s="61">
        <f>1000000+2500000+2500000+2000000+2000000+2000000+3810867.42+2600000+2000000+1492000</f>
        <v>21902867.420000002</v>
      </c>
      <c r="V362" s="62">
        <f t="shared" si="98"/>
        <v>0.99996486519567507</v>
      </c>
      <c r="W362" s="61">
        <f>1000000+2500000+2500000+2000000+2000000+2000000+3810867.42+2600000+2000000+1492000</f>
        <v>21902867.420000002</v>
      </c>
      <c r="X362" s="63">
        <f t="shared" si="127"/>
        <v>0.99996486519567507</v>
      </c>
      <c r="Y362" s="64"/>
    </row>
    <row r="363" spans="1:25" s="65" customFormat="1" ht="39" customHeight="1" x14ac:dyDescent="0.2">
      <c r="A363" s="51" t="s">
        <v>110</v>
      </c>
      <c r="B363" s="52" t="s">
        <v>111</v>
      </c>
      <c r="C363" s="53" t="s">
        <v>90</v>
      </c>
      <c r="D363" s="54" t="s">
        <v>218</v>
      </c>
      <c r="E363" s="55" t="s">
        <v>58</v>
      </c>
      <c r="F363" s="52" t="s">
        <v>89</v>
      </c>
      <c r="G363" s="95">
        <v>1</v>
      </c>
      <c r="H363" s="87" t="s">
        <v>63</v>
      </c>
      <c r="I363" s="88" t="s">
        <v>64</v>
      </c>
      <c r="J363" s="96">
        <v>3</v>
      </c>
      <c r="K363" s="61">
        <v>0</v>
      </c>
      <c r="L363" s="61">
        <f>2550000</f>
        <v>2550000</v>
      </c>
      <c r="M363" s="61">
        <v>0</v>
      </c>
      <c r="N363" s="60">
        <f t="shared" si="143"/>
        <v>2550000</v>
      </c>
      <c r="O363" s="61">
        <v>0</v>
      </c>
      <c r="P363" s="61">
        <v>0</v>
      </c>
      <c r="Q363" s="61">
        <v>0</v>
      </c>
      <c r="R363" s="60">
        <f t="shared" si="129"/>
        <v>2550000</v>
      </c>
      <c r="S363" s="61">
        <f>145839.08</f>
        <v>145839.07999999999</v>
      </c>
      <c r="T363" s="62">
        <f>S363/R363</f>
        <v>5.7191796078431369E-2</v>
      </c>
      <c r="U363" s="61">
        <f>145839.08</f>
        <v>145839.07999999999</v>
      </c>
      <c r="V363" s="62">
        <f t="shared" si="98"/>
        <v>5.7191796078431369E-2</v>
      </c>
      <c r="W363" s="61">
        <f>145839.08</f>
        <v>145839.07999999999</v>
      </c>
      <c r="X363" s="63">
        <f t="shared" si="127"/>
        <v>5.7191796078431369E-2</v>
      </c>
      <c r="Y363" s="64"/>
    </row>
    <row r="364" spans="1:25" s="42" customFormat="1" ht="9" customHeight="1" x14ac:dyDescent="0.2">
      <c r="A364" s="66"/>
      <c r="B364" s="67"/>
      <c r="C364" s="68"/>
      <c r="D364" s="69"/>
      <c r="E364" s="70"/>
      <c r="F364" s="71"/>
      <c r="G364" s="72"/>
      <c r="H364" s="68"/>
      <c r="I364" s="73"/>
      <c r="J364" s="74"/>
      <c r="K364" s="75"/>
      <c r="L364" s="76"/>
      <c r="M364" s="76"/>
      <c r="N364" s="75"/>
      <c r="O364" s="76"/>
      <c r="P364" s="76"/>
      <c r="Q364" s="76"/>
      <c r="R364" s="75"/>
      <c r="S364" s="76"/>
      <c r="T364" s="77"/>
      <c r="U364" s="76"/>
      <c r="V364" s="77"/>
      <c r="W364" s="76"/>
      <c r="X364" s="78"/>
    </row>
    <row r="365" spans="1:25" s="105" customFormat="1" ht="39" customHeight="1" x14ac:dyDescent="0.2">
      <c r="A365" s="102" t="s">
        <v>110</v>
      </c>
      <c r="B365" s="192" t="s">
        <v>111</v>
      </c>
      <c r="C365" s="193"/>
      <c r="D365" s="80" t="s">
        <v>219</v>
      </c>
      <c r="E365" s="103" t="s">
        <v>58</v>
      </c>
      <c r="F365" s="192" t="s">
        <v>92</v>
      </c>
      <c r="G365" s="194"/>
      <c r="H365" s="194"/>
      <c r="I365" s="194"/>
      <c r="J365" s="193"/>
      <c r="K365" s="82">
        <f>K366</f>
        <v>1450000</v>
      </c>
      <c r="L365" s="82">
        <f t="shared" ref="L365:S365" si="144">L366</f>
        <v>0</v>
      </c>
      <c r="M365" s="82">
        <f t="shared" si="144"/>
        <v>0</v>
      </c>
      <c r="N365" s="82">
        <f t="shared" si="144"/>
        <v>1450000</v>
      </c>
      <c r="O365" s="82">
        <f t="shared" si="144"/>
        <v>0</v>
      </c>
      <c r="P365" s="82">
        <f t="shared" si="144"/>
        <v>0</v>
      </c>
      <c r="Q365" s="82">
        <f t="shared" si="144"/>
        <v>0</v>
      </c>
      <c r="R365" s="82">
        <f t="shared" si="144"/>
        <v>1450000</v>
      </c>
      <c r="S365" s="82">
        <f t="shared" si="144"/>
        <v>1087384.6299999999</v>
      </c>
      <c r="T365" s="83">
        <f>S365/R365</f>
        <v>0.74992043448275858</v>
      </c>
      <c r="U365" s="82">
        <f>U366</f>
        <v>1087384.6300000001</v>
      </c>
      <c r="V365" s="83">
        <f t="shared" ref="V365" si="145">U365/R365</f>
        <v>0.74992043448275869</v>
      </c>
      <c r="W365" s="82">
        <f>W366</f>
        <v>1087384.6300000001</v>
      </c>
      <c r="X365" s="84">
        <f t="shared" ref="X365" si="146">W365/R365</f>
        <v>0.74992043448275869</v>
      </c>
      <c r="Y365" s="104"/>
    </row>
    <row r="366" spans="1:25" s="65" customFormat="1" ht="39" customHeight="1" x14ac:dyDescent="0.2">
      <c r="A366" s="92" t="s">
        <v>110</v>
      </c>
      <c r="B366" s="52" t="s">
        <v>111</v>
      </c>
      <c r="C366" s="53" t="s">
        <v>90</v>
      </c>
      <c r="D366" s="54" t="s">
        <v>219</v>
      </c>
      <c r="E366" s="55" t="s">
        <v>58</v>
      </c>
      <c r="F366" s="56" t="s">
        <v>92</v>
      </c>
      <c r="G366" s="57">
        <v>1</v>
      </c>
      <c r="H366" s="53" t="s">
        <v>116</v>
      </c>
      <c r="I366" s="58" t="s">
        <v>117</v>
      </c>
      <c r="J366" s="59">
        <v>3</v>
      </c>
      <c r="K366" s="60">
        <v>1450000</v>
      </c>
      <c r="L366" s="61">
        <v>0</v>
      </c>
      <c r="M366" s="61">
        <v>0</v>
      </c>
      <c r="N366" s="60">
        <f t="shared" si="143"/>
        <v>1450000</v>
      </c>
      <c r="O366" s="61">
        <v>0</v>
      </c>
      <c r="P366" s="61">
        <v>0</v>
      </c>
      <c r="Q366" s="61">
        <v>0</v>
      </c>
      <c r="R366" s="60">
        <f t="shared" si="129"/>
        <v>1450000</v>
      </c>
      <c r="S366" s="61">
        <f>189132.58+470211.33+492040.72-64000</f>
        <v>1087384.6299999999</v>
      </c>
      <c r="T366" s="62">
        <f>S366/R366</f>
        <v>0.74992043448275858</v>
      </c>
      <c r="U366" s="61">
        <f>189132.58+470211.33+492039.93-63999.21</f>
        <v>1087384.6300000001</v>
      </c>
      <c r="V366" s="62">
        <f t="shared" si="98"/>
        <v>0.74992043448275869</v>
      </c>
      <c r="W366" s="61">
        <f>189132.58+470211.33+492039.93-63999.21</f>
        <v>1087384.6300000001</v>
      </c>
      <c r="X366" s="63">
        <f t="shared" si="127"/>
        <v>0.74992043448275869</v>
      </c>
      <c r="Y366" s="64"/>
    </row>
    <row r="367" spans="1:25" s="42" customFormat="1" ht="9" customHeight="1" x14ac:dyDescent="0.2">
      <c r="A367" s="66"/>
      <c r="B367" s="67"/>
      <c r="C367" s="68"/>
      <c r="D367" s="69"/>
      <c r="E367" s="70"/>
      <c r="F367" s="71"/>
      <c r="G367" s="72"/>
      <c r="H367" s="68"/>
      <c r="I367" s="73"/>
      <c r="J367" s="74"/>
      <c r="K367" s="75"/>
      <c r="L367" s="76"/>
      <c r="M367" s="76"/>
      <c r="N367" s="75"/>
      <c r="O367" s="76"/>
      <c r="P367" s="76"/>
      <c r="Q367" s="76"/>
      <c r="R367" s="75"/>
      <c r="S367" s="76"/>
      <c r="T367" s="77"/>
      <c r="U367" s="76"/>
      <c r="V367" s="77"/>
      <c r="W367" s="76"/>
      <c r="X367" s="78"/>
    </row>
    <row r="368" spans="1:25" s="105" customFormat="1" ht="39" customHeight="1" x14ac:dyDescent="0.2">
      <c r="A368" s="102" t="s">
        <v>110</v>
      </c>
      <c r="B368" s="192" t="s">
        <v>111</v>
      </c>
      <c r="C368" s="193"/>
      <c r="D368" s="80" t="s">
        <v>220</v>
      </c>
      <c r="E368" s="103" t="s">
        <v>58</v>
      </c>
      <c r="F368" s="192" t="s">
        <v>94</v>
      </c>
      <c r="G368" s="194"/>
      <c r="H368" s="194"/>
      <c r="I368" s="194"/>
      <c r="J368" s="193"/>
      <c r="K368" s="82">
        <f>K369</f>
        <v>6408077</v>
      </c>
      <c r="L368" s="82">
        <f t="shared" ref="L368:S368" si="147">L369</f>
        <v>0</v>
      </c>
      <c r="M368" s="82">
        <f t="shared" si="147"/>
        <v>0</v>
      </c>
      <c r="N368" s="82">
        <f t="shared" si="147"/>
        <v>6408077</v>
      </c>
      <c r="O368" s="82">
        <f t="shared" si="147"/>
        <v>0</v>
      </c>
      <c r="P368" s="82">
        <f t="shared" si="147"/>
        <v>0</v>
      </c>
      <c r="Q368" s="82">
        <f t="shared" si="147"/>
        <v>0</v>
      </c>
      <c r="R368" s="82">
        <f t="shared" si="147"/>
        <v>6408077</v>
      </c>
      <c r="S368" s="82">
        <f t="shared" si="147"/>
        <v>3998952.2300000004</v>
      </c>
      <c r="T368" s="83">
        <f t="shared" ref="T368:T372" si="148">S368/R368</f>
        <v>0.62404871695518027</v>
      </c>
      <c r="U368" s="82">
        <f>U369</f>
        <v>3998952.2300000004</v>
      </c>
      <c r="V368" s="115">
        <f t="shared" ref="V368" si="149">U368/R368</f>
        <v>0.62404871695518027</v>
      </c>
      <c r="W368" s="82">
        <f>W369</f>
        <v>3998952.2300000004</v>
      </c>
      <c r="X368" s="84">
        <f t="shared" ref="X368" si="150">W368/R368</f>
        <v>0.62404871695518027</v>
      </c>
      <c r="Y368" s="104"/>
    </row>
    <row r="369" spans="1:25" s="65" customFormat="1" ht="39" customHeight="1" thickBot="1" x14ac:dyDescent="0.25">
      <c r="A369" s="92" t="s">
        <v>110</v>
      </c>
      <c r="B369" s="52" t="s">
        <v>111</v>
      </c>
      <c r="C369" s="53" t="s">
        <v>90</v>
      </c>
      <c r="D369" s="54" t="s">
        <v>220</v>
      </c>
      <c r="E369" s="55" t="s">
        <v>58</v>
      </c>
      <c r="F369" s="56" t="s">
        <v>94</v>
      </c>
      <c r="G369" s="57">
        <v>1</v>
      </c>
      <c r="H369" s="53" t="s">
        <v>61</v>
      </c>
      <c r="I369" s="58" t="s">
        <v>62</v>
      </c>
      <c r="J369" s="59">
        <v>3</v>
      </c>
      <c r="K369" s="60">
        <v>6408077</v>
      </c>
      <c r="L369" s="61">
        <v>0</v>
      </c>
      <c r="M369" s="61">
        <v>0</v>
      </c>
      <c r="N369" s="60">
        <f t="shared" si="143"/>
        <v>6408077</v>
      </c>
      <c r="O369" s="61">
        <v>0</v>
      </c>
      <c r="P369" s="61">
        <v>0</v>
      </c>
      <c r="Q369" s="61">
        <v>0</v>
      </c>
      <c r="R369" s="60">
        <f t="shared" si="129"/>
        <v>6408077</v>
      </c>
      <c r="S369" s="61">
        <f>437312.64+1248530.35+1313109.24+1000000</f>
        <v>3998952.2300000004</v>
      </c>
      <c r="T369" s="62">
        <f t="shared" si="148"/>
        <v>0.62404871695518027</v>
      </c>
      <c r="U369" s="116">
        <f>437312.64+1248530.35+1313109.24+1000000</f>
        <v>3998952.2300000004</v>
      </c>
      <c r="V369" s="117">
        <f t="shared" si="98"/>
        <v>0.62404871695518027</v>
      </c>
      <c r="W369" s="116">
        <f>437312.64+1248530.35+1313109.24+1000000</f>
        <v>3998952.2300000004</v>
      </c>
      <c r="X369" s="63">
        <f t="shared" si="127"/>
        <v>0.62404871695518027</v>
      </c>
      <c r="Y369" s="64"/>
    </row>
    <row r="370" spans="1:25" s="105" customFormat="1" ht="39" customHeight="1" thickBot="1" x14ac:dyDescent="0.25">
      <c r="A370" s="185" t="s">
        <v>221</v>
      </c>
      <c r="B370" s="186"/>
      <c r="C370" s="186"/>
      <c r="D370" s="186"/>
      <c r="E370" s="186"/>
      <c r="F370" s="186"/>
      <c r="G370" s="186"/>
      <c r="H370" s="186"/>
      <c r="I370" s="186"/>
      <c r="J370" s="187"/>
      <c r="K370" s="89">
        <f t="shared" ref="K370:S370" si="151">K108+K115+K120+K123+K128+K132+K136+K139+K144+K149+K152+K159+K164+K172+K182+K187+K192+K198+K202+K208+K215+K222+K229+K232+K236+K241+K248+K252+K256+K260+K266+K274+K277+K282+K285+K289+K300+K307+K315+K319+K322+K325+K330+K336+K341+K344+K348+K352+K356+K361+K365+K368</f>
        <v>165691262</v>
      </c>
      <c r="L370" s="89">
        <f t="shared" si="151"/>
        <v>47776696.980000004</v>
      </c>
      <c r="M370" s="89">
        <f t="shared" si="151"/>
        <v>8968785</v>
      </c>
      <c r="N370" s="89">
        <f t="shared" si="151"/>
        <v>204499173.97999999</v>
      </c>
      <c r="O370" s="89">
        <f t="shared" si="151"/>
        <v>5782757.4200000009</v>
      </c>
      <c r="P370" s="89">
        <f t="shared" si="151"/>
        <v>0</v>
      </c>
      <c r="Q370" s="89">
        <f t="shared" si="151"/>
        <v>-3265740.2</v>
      </c>
      <c r="R370" s="89">
        <f t="shared" si="151"/>
        <v>195450676.36000001</v>
      </c>
      <c r="S370" s="89">
        <f t="shared" si="151"/>
        <v>152615677.70999995</v>
      </c>
      <c r="T370" s="90">
        <f t="shared" si="148"/>
        <v>0.78083985459788119</v>
      </c>
      <c r="U370" s="89">
        <f>U108+U115+U120+U123+U128+U132+U136+U139+U144+U149+U152+U159+U164+U172+U182+U187+U192+U198+U202+U208+U215+U222+U229+U232+U236+U241+U248+U252+U256+U260+U266+U274+U277+U282+U285+U289+U300+U307+U315+U319+U322+U325+U330+U336+U341+U344+U348+U352+U356+U361+U365+U368</f>
        <v>137853243.67999998</v>
      </c>
      <c r="V370" s="90">
        <f t="shared" si="98"/>
        <v>0.70530962720276547</v>
      </c>
      <c r="W370" s="89">
        <f>W108+W115+W120+W123+W128+W132+W136+W139+W144+W149+W152+W159+W164+W172+W182+W187+W192+W198+W202+W208+W215+W222+W229+W232+W236+W241+W248+W252+W256+W260+W266+W274+W277+W282+W285+W289+W300+W307+W315+W319+W322+W325+W330+W336+W341+W344+W348+W352+W356+W361+W365+W368</f>
        <v>136071135.38999999</v>
      </c>
      <c r="X370" s="91">
        <f>W370/R370</f>
        <v>0.69619168336553094</v>
      </c>
      <c r="Y370" s="104"/>
    </row>
    <row r="371" spans="1:25" s="42" customFormat="1" ht="12" customHeight="1" thickBot="1" x14ac:dyDescent="0.25">
      <c r="A371" s="66"/>
      <c r="B371" s="67"/>
      <c r="C371" s="68"/>
      <c r="D371" s="69"/>
      <c r="E371" s="70"/>
      <c r="F371" s="71"/>
      <c r="G371" s="72"/>
      <c r="H371" s="68"/>
      <c r="I371" s="73"/>
      <c r="J371" s="74"/>
      <c r="K371" s="75"/>
      <c r="L371" s="76"/>
      <c r="M371" s="76"/>
      <c r="N371" s="75"/>
      <c r="O371" s="76"/>
      <c r="P371" s="76"/>
      <c r="Q371" s="76"/>
      <c r="R371" s="75"/>
      <c r="S371" s="76"/>
      <c r="T371" s="77"/>
      <c r="U371" s="76"/>
      <c r="V371" s="77"/>
      <c r="W371" s="76"/>
      <c r="X371" s="78"/>
    </row>
    <row r="372" spans="1:25" s="105" customFormat="1" ht="39" customHeight="1" thickBot="1" x14ac:dyDescent="0.25">
      <c r="A372" s="188" t="s">
        <v>222</v>
      </c>
      <c r="B372" s="189"/>
      <c r="C372" s="189"/>
      <c r="D372" s="189"/>
      <c r="E372" s="189"/>
      <c r="F372" s="189"/>
      <c r="G372" s="189"/>
      <c r="H372" s="189"/>
      <c r="I372" s="189"/>
      <c r="J372" s="190"/>
      <c r="K372" s="89">
        <f t="shared" ref="K372:S372" si="152">K106+K370</f>
        <v>1169419291</v>
      </c>
      <c r="L372" s="89">
        <f t="shared" si="152"/>
        <v>106068454.82000001</v>
      </c>
      <c r="M372" s="89">
        <f t="shared" si="152"/>
        <v>51850883.840000004</v>
      </c>
      <c r="N372" s="89">
        <f t="shared" si="152"/>
        <v>1223636861.98</v>
      </c>
      <c r="O372" s="89">
        <f t="shared" si="152"/>
        <v>5782757.4200000009</v>
      </c>
      <c r="P372" s="89">
        <f t="shared" si="152"/>
        <v>0</v>
      </c>
      <c r="Q372" s="89">
        <f t="shared" si="152"/>
        <v>-14990101.18</v>
      </c>
      <c r="R372" s="89">
        <f t="shared" si="152"/>
        <v>1202864003.3800001</v>
      </c>
      <c r="S372" s="89">
        <f t="shared" si="152"/>
        <v>1013461002.4499998</v>
      </c>
      <c r="T372" s="90">
        <f t="shared" si="148"/>
        <v>0.84253997093787381</v>
      </c>
      <c r="U372" s="89">
        <f>U106+U370</f>
        <v>996822786.8499999</v>
      </c>
      <c r="V372" s="90">
        <f t="shared" si="98"/>
        <v>0.82870780408173117</v>
      </c>
      <c r="W372" s="89">
        <f>W106+W370</f>
        <v>984668475.04999971</v>
      </c>
      <c r="X372" s="91">
        <f>W372/R372</f>
        <v>0.81860332696225035</v>
      </c>
      <c r="Y372" s="104"/>
    </row>
    <row r="373" spans="1:25" s="118" customFormat="1" ht="16.5" customHeight="1" x14ac:dyDescent="0.2">
      <c r="A373" s="118" t="s">
        <v>223</v>
      </c>
      <c r="B373" s="119"/>
      <c r="E373" s="120"/>
      <c r="F373" s="121"/>
      <c r="G373" s="122"/>
      <c r="H373" s="122"/>
      <c r="I373" s="123"/>
      <c r="J373" s="122"/>
      <c r="K373" s="122"/>
      <c r="L373" s="122"/>
      <c r="M373" s="122"/>
      <c r="N373" s="122"/>
      <c r="O373" s="122"/>
      <c r="P373" s="122"/>
      <c r="Q373" s="124"/>
      <c r="R373" s="122"/>
      <c r="S373" s="122"/>
      <c r="T373" s="122"/>
      <c r="U373" s="122"/>
    </row>
    <row r="374" spans="1:25" s="126" customFormat="1" ht="16.5" customHeight="1" x14ac:dyDescent="0.2">
      <c r="A374" s="191" t="s">
        <v>224</v>
      </c>
      <c r="B374" s="191"/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25"/>
    </row>
    <row r="375" spans="1:25" s="126" customFormat="1" ht="14.25" customHeight="1" x14ac:dyDescent="0.2">
      <c r="A375" s="180" t="s">
        <v>225</v>
      </c>
      <c r="B375" s="180"/>
      <c r="C375" s="180"/>
      <c r="D375" s="180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  <c r="T375" s="180"/>
      <c r="U375" s="180"/>
      <c r="V375" s="180"/>
      <c r="W375" s="180"/>
      <c r="X375" s="180"/>
      <c r="Y375" s="125"/>
    </row>
    <row r="376" spans="1:25" s="126" customFormat="1" ht="14.25" customHeight="1" x14ac:dyDescent="0.2">
      <c r="A376" s="180" t="s">
        <v>226</v>
      </c>
      <c r="B376" s="180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  <c r="T376" s="180"/>
      <c r="U376" s="180"/>
      <c r="V376" s="180"/>
      <c r="W376" s="180"/>
      <c r="X376" s="180"/>
      <c r="Y376" s="125"/>
    </row>
    <row r="377" spans="1:25" ht="12.75" customHeight="1" x14ac:dyDescent="0.2">
      <c r="A377" s="127" t="s">
        <v>227</v>
      </c>
      <c r="B377" s="179" t="s">
        <v>228</v>
      </c>
      <c r="C377" s="179"/>
      <c r="D377" s="128" t="s">
        <v>229</v>
      </c>
      <c r="E377" s="183" t="s">
        <v>230</v>
      </c>
      <c r="F377" s="183"/>
      <c r="G377" s="184" t="s">
        <v>229</v>
      </c>
      <c r="H377" s="184"/>
      <c r="I377" s="183" t="s">
        <v>231</v>
      </c>
      <c r="J377" s="183"/>
      <c r="K377" s="183"/>
      <c r="L377" s="128" t="s">
        <v>229</v>
      </c>
      <c r="M377" s="183" t="s">
        <v>232</v>
      </c>
      <c r="N377" s="183"/>
      <c r="O377" s="183"/>
      <c r="P377" s="128" t="s">
        <v>229</v>
      </c>
      <c r="Q377" s="179" t="s">
        <v>233</v>
      </c>
      <c r="R377" s="179"/>
      <c r="S377" s="179"/>
      <c r="T377" s="179"/>
      <c r="U377" s="129"/>
      <c r="V377" s="130"/>
      <c r="W377" s="131"/>
      <c r="X377" s="132"/>
      <c r="Y377"/>
    </row>
    <row r="378" spans="1:25" ht="12.75" customHeight="1" x14ac:dyDescent="0.2">
      <c r="A378" s="127"/>
      <c r="B378" s="183"/>
      <c r="C378" s="183"/>
      <c r="D378" s="128" t="s">
        <v>229</v>
      </c>
      <c r="E378" s="183" t="s">
        <v>234</v>
      </c>
      <c r="F378" s="183"/>
      <c r="G378" s="184" t="s">
        <v>229</v>
      </c>
      <c r="H378" s="184"/>
      <c r="I378" s="183" t="s">
        <v>235</v>
      </c>
      <c r="J378" s="183"/>
      <c r="K378" s="183"/>
      <c r="L378" s="128" t="s">
        <v>229</v>
      </c>
      <c r="M378" s="183" t="s">
        <v>236</v>
      </c>
      <c r="N378" s="183"/>
      <c r="O378" s="183"/>
      <c r="P378" s="128" t="s">
        <v>229</v>
      </c>
      <c r="Q378" s="179" t="s">
        <v>237</v>
      </c>
      <c r="R378" s="179"/>
      <c r="S378" s="179"/>
      <c r="T378" s="179"/>
      <c r="U378" s="129"/>
      <c r="V378" s="130"/>
      <c r="W378" s="131"/>
      <c r="X378" s="132"/>
      <c r="Y378"/>
    </row>
    <row r="379" spans="1:25" s="126" customFormat="1" ht="14.25" customHeight="1" x14ac:dyDescent="0.2">
      <c r="A379" s="180" t="s">
        <v>238</v>
      </c>
      <c r="B379" s="180"/>
      <c r="C379" s="180"/>
      <c r="D379" s="180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  <c r="T379" s="180"/>
      <c r="U379" s="180"/>
      <c r="V379" s="180"/>
      <c r="W379" s="180"/>
      <c r="X379" s="180"/>
      <c r="Y379" s="125"/>
    </row>
    <row r="380" spans="1:25" ht="12.75" customHeight="1" x14ac:dyDescent="0.2">
      <c r="A380" s="127"/>
      <c r="B380" s="133"/>
      <c r="C380" s="179" t="s">
        <v>239</v>
      </c>
      <c r="D380" s="179"/>
      <c r="E380" s="179"/>
      <c r="F380" s="179" t="s">
        <v>240</v>
      </c>
      <c r="G380" s="179"/>
      <c r="H380" s="179"/>
      <c r="I380" s="134"/>
      <c r="J380" s="135"/>
      <c r="K380" s="136"/>
      <c r="Q380" s="137"/>
      <c r="S380" s="129"/>
      <c r="U380" s="129"/>
      <c r="V380" s="130"/>
      <c r="W380" s="131"/>
      <c r="X380" s="132"/>
      <c r="Y380"/>
    </row>
    <row r="381" spans="1:25" s="126" customFormat="1" ht="14.25" customHeight="1" x14ac:dyDescent="0.2">
      <c r="A381" s="180" t="s">
        <v>241</v>
      </c>
      <c r="B381" s="180"/>
      <c r="C381" s="180"/>
      <c r="D381" s="180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  <c r="T381" s="180"/>
      <c r="U381" s="180"/>
      <c r="V381" s="180"/>
      <c r="W381" s="180"/>
      <c r="X381" s="180"/>
      <c r="Y381" s="125"/>
    </row>
    <row r="382" spans="1:25" ht="12.75" customHeight="1" x14ac:dyDescent="0.2">
      <c r="A382" s="127"/>
      <c r="B382" s="133"/>
      <c r="C382" s="179" t="s">
        <v>242</v>
      </c>
      <c r="D382" s="179"/>
      <c r="E382" s="179"/>
      <c r="F382" s="179" t="s">
        <v>243</v>
      </c>
      <c r="G382" s="179"/>
      <c r="H382" s="179"/>
      <c r="I382" s="134"/>
      <c r="J382" s="179" t="s">
        <v>244</v>
      </c>
      <c r="K382" s="179"/>
      <c r="L382" s="179"/>
      <c r="N382" s="179" t="s">
        <v>245</v>
      </c>
      <c r="O382" s="179"/>
      <c r="P382" s="179"/>
      <c r="Q382" s="137"/>
      <c r="S382" s="129"/>
      <c r="U382" s="129"/>
      <c r="V382" s="130"/>
      <c r="W382" s="131"/>
      <c r="X382" s="132"/>
      <c r="Y382"/>
    </row>
    <row r="383" spans="1:25" s="126" customFormat="1" ht="14.25" customHeight="1" x14ac:dyDescent="0.2">
      <c r="A383" s="180" t="s">
        <v>246</v>
      </c>
      <c r="B383" s="180"/>
      <c r="C383" s="180"/>
      <c r="D383" s="180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  <c r="T383" s="180"/>
      <c r="U383" s="180"/>
      <c r="V383" s="180"/>
      <c r="W383" s="180"/>
      <c r="X383" s="180"/>
      <c r="Y383" s="125"/>
    </row>
    <row r="384" spans="1:25" ht="12.75" customHeight="1" x14ac:dyDescent="0.2">
      <c r="A384" s="179" t="s">
        <v>247</v>
      </c>
      <c r="B384" s="179"/>
      <c r="C384" s="179"/>
      <c r="D384" s="179"/>
      <c r="E384" s="179"/>
      <c r="F384" s="179"/>
      <c r="G384" s="179" t="s">
        <v>248</v>
      </c>
      <c r="H384" s="179"/>
      <c r="I384" s="179"/>
      <c r="J384" s="179"/>
      <c r="K384" s="179"/>
      <c r="L384" s="179"/>
      <c r="M384" s="179"/>
      <c r="N384" s="179" t="s">
        <v>249</v>
      </c>
      <c r="O384" s="179"/>
      <c r="P384" s="179"/>
      <c r="Q384" s="179"/>
      <c r="R384" s="179"/>
      <c r="S384" s="179"/>
      <c r="U384" s="129"/>
      <c r="V384" s="130"/>
      <c r="W384" s="131"/>
      <c r="X384" s="132"/>
      <c r="Y384"/>
    </row>
    <row r="385" spans="1:25" ht="12.75" customHeight="1" x14ac:dyDescent="0.2">
      <c r="A385" s="179" t="s">
        <v>250</v>
      </c>
      <c r="B385" s="179"/>
      <c r="C385" s="179"/>
      <c r="D385" s="179"/>
      <c r="E385" s="179"/>
      <c r="F385" s="179"/>
      <c r="G385" s="179" t="s">
        <v>251</v>
      </c>
      <c r="H385" s="179"/>
      <c r="I385" s="179"/>
      <c r="J385" s="179"/>
      <c r="K385" s="179"/>
      <c r="L385" s="179"/>
      <c r="M385" s="179"/>
      <c r="N385" s="179" t="s">
        <v>252</v>
      </c>
      <c r="O385" s="179"/>
      <c r="P385" s="179"/>
      <c r="Q385" s="179"/>
      <c r="R385" s="179"/>
      <c r="S385" s="179"/>
      <c r="U385" s="129"/>
      <c r="V385" s="130"/>
      <c r="W385" s="131"/>
      <c r="X385" s="132"/>
      <c r="Y385"/>
    </row>
    <row r="386" spans="1:25" ht="12.75" customHeight="1" x14ac:dyDescent="0.2">
      <c r="A386" s="179" t="s">
        <v>253</v>
      </c>
      <c r="B386" s="179"/>
      <c r="C386" s="179"/>
      <c r="D386" s="179"/>
      <c r="E386" s="179"/>
      <c r="F386" s="179"/>
      <c r="G386" s="179" t="s">
        <v>254</v>
      </c>
      <c r="H386" s="179"/>
      <c r="I386" s="179"/>
      <c r="J386" s="179"/>
      <c r="K386" s="179"/>
      <c r="L386" s="179"/>
      <c r="M386" s="179"/>
      <c r="N386" s="139"/>
      <c r="O386" s="139"/>
      <c r="P386" s="139"/>
      <c r="Q386" s="139"/>
      <c r="R386" s="139"/>
      <c r="S386" s="139"/>
      <c r="U386" s="129"/>
      <c r="V386" s="130"/>
      <c r="W386" s="131"/>
      <c r="X386" s="132"/>
      <c r="Y386"/>
    </row>
    <row r="387" spans="1:25" s="126" customFormat="1" ht="14.25" customHeight="1" x14ac:dyDescent="0.2">
      <c r="A387" s="180" t="s">
        <v>255</v>
      </c>
      <c r="B387" s="180"/>
      <c r="C387" s="180"/>
      <c r="D387" s="180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  <c r="T387" s="180"/>
      <c r="U387" s="180"/>
      <c r="V387" s="180"/>
      <c r="W387" s="180"/>
      <c r="X387" s="180"/>
      <c r="Y387" s="125"/>
    </row>
    <row r="388" spans="1:25" s="126" customFormat="1" ht="16.5" customHeight="1" x14ac:dyDescent="0.2">
      <c r="A388" s="126" t="s">
        <v>223</v>
      </c>
      <c r="B388" s="140"/>
      <c r="E388" s="141"/>
      <c r="F388" s="142"/>
      <c r="G388" s="125"/>
      <c r="H388" s="125"/>
      <c r="I388" s="143"/>
      <c r="J388" s="125"/>
      <c r="K388" s="125"/>
      <c r="L388" s="125"/>
      <c r="M388" s="125"/>
      <c r="N388" s="125"/>
      <c r="O388" s="125"/>
      <c r="P388" s="125"/>
      <c r="Q388" s="144"/>
      <c r="R388" s="125"/>
      <c r="S388" s="125"/>
      <c r="T388" s="125"/>
      <c r="U388" s="125"/>
    </row>
    <row r="390" spans="1:25" x14ac:dyDescent="0.2">
      <c r="N390" s="181"/>
      <c r="O390" s="182"/>
      <c r="P390" s="182"/>
      <c r="Q390" s="182"/>
      <c r="S390" s="182"/>
      <c r="T390" s="182"/>
      <c r="U390" s="182"/>
      <c r="V390" s="182"/>
      <c r="W390" s="182"/>
    </row>
    <row r="391" spans="1:25" ht="6" customHeight="1" x14ac:dyDescent="0.2">
      <c r="N391" s="181"/>
      <c r="O391" s="152"/>
      <c r="P391" s="152"/>
      <c r="Q391" s="152"/>
      <c r="S391" s="152"/>
      <c r="T391" s="152"/>
      <c r="U391" s="152"/>
      <c r="V391" s="152"/>
      <c r="W391" s="152"/>
    </row>
    <row r="392" spans="1:25" x14ac:dyDescent="0.2">
      <c r="J392" s="153"/>
      <c r="M392" s="176"/>
      <c r="N392" s="181"/>
      <c r="O392" s="152"/>
      <c r="P392" s="152"/>
      <c r="Q392" s="154"/>
      <c r="R392" s="152"/>
      <c r="S392" s="152"/>
      <c r="T392" s="152"/>
      <c r="U392" s="152"/>
      <c r="V392" s="155"/>
      <c r="W392" s="154"/>
      <c r="X392" s="155"/>
      <c r="Y392" s="154"/>
    </row>
    <row r="393" spans="1:25" x14ac:dyDescent="0.2">
      <c r="I393" s="176"/>
      <c r="J393" s="153"/>
      <c r="M393" s="176"/>
      <c r="N393" s="156"/>
      <c r="O393" s="152"/>
      <c r="P393" s="152"/>
      <c r="Q393" s="154"/>
      <c r="R393" s="152"/>
      <c r="S393" s="152"/>
      <c r="T393" s="157"/>
      <c r="U393" s="152"/>
      <c r="V393" s="155"/>
      <c r="W393" s="154"/>
      <c r="X393" s="155"/>
      <c r="Y393" s="154"/>
    </row>
    <row r="394" spans="1:25" x14ac:dyDescent="0.2">
      <c r="I394" s="176"/>
      <c r="J394" s="156"/>
      <c r="M394" s="176"/>
      <c r="N394" s="156"/>
      <c r="O394" s="158"/>
      <c r="P394" s="158"/>
      <c r="Q394" s="158"/>
      <c r="T394" s="159"/>
      <c r="V394" s="159"/>
      <c r="W394" s="159"/>
      <c r="Y394" s="160"/>
    </row>
    <row r="395" spans="1:25" x14ac:dyDescent="0.2">
      <c r="I395" s="176"/>
      <c r="J395" s="156"/>
      <c r="M395" s="176"/>
      <c r="N395" s="156"/>
      <c r="O395" s="158"/>
      <c r="P395" s="158"/>
      <c r="Q395" s="158"/>
      <c r="T395" s="159"/>
      <c r="V395" s="159"/>
      <c r="W395" s="159"/>
      <c r="X395" s="159"/>
      <c r="Y395" s="160"/>
    </row>
    <row r="396" spans="1:25" s="169" customFormat="1" x14ac:dyDescent="0.2">
      <c r="A396" s="161"/>
      <c r="B396" s="162"/>
      <c r="C396" s="163"/>
      <c r="D396" s="163"/>
      <c r="E396" s="162"/>
      <c r="F396" s="162"/>
      <c r="G396" s="163"/>
      <c r="H396" s="164"/>
      <c r="I396" s="176"/>
      <c r="J396" s="165"/>
      <c r="K396" s="166"/>
      <c r="L396" s="166"/>
      <c r="M396" s="176"/>
      <c r="N396" s="156"/>
      <c r="O396" s="167"/>
      <c r="P396" s="167"/>
      <c r="Q396" s="167"/>
      <c r="R396" s="166"/>
      <c r="S396" s="168"/>
      <c r="T396" s="168"/>
      <c r="U396" s="168"/>
      <c r="V396" s="168"/>
      <c r="W396" s="168"/>
      <c r="X396" s="155"/>
      <c r="Y396" s="166"/>
    </row>
    <row r="397" spans="1:25" x14ac:dyDescent="0.2">
      <c r="M397" s="148"/>
      <c r="N397" s="170"/>
      <c r="S397" s="171"/>
      <c r="T397" s="172"/>
      <c r="U397" s="171"/>
      <c r="V397" s="172"/>
      <c r="W397" s="171"/>
    </row>
    <row r="398" spans="1:25" x14ac:dyDescent="0.2">
      <c r="I398" s="176"/>
      <c r="J398" s="153"/>
      <c r="M398" s="176"/>
      <c r="N398" s="156"/>
      <c r="O398" s="152"/>
      <c r="P398" s="152"/>
      <c r="Q398" s="154"/>
      <c r="R398" s="152"/>
      <c r="S398" s="152"/>
      <c r="T398" s="157"/>
      <c r="U398" s="152"/>
      <c r="V398" s="155"/>
      <c r="W398" s="154"/>
      <c r="X398" s="155"/>
      <c r="Y398" s="154"/>
    </row>
    <row r="399" spans="1:25" x14ac:dyDescent="0.2">
      <c r="I399" s="176"/>
      <c r="J399" s="156"/>
      <c r="M399" s="176"/>
      <c r="N399" s="156"/>
      <c r="S399" s="129"/>
      <c r="T399" s="129"/>
      <c r="U399" s="129"/>
      <c r="V399" s="129"/>
      <c r="Y399" s="160"/>
    </row>
    <row r="400" spans="1:25" x14ac:dyDescent="0.2">
      <c r="I400" s="176"/>
      <c r="J400" s="156"/>
      <c r="M400" s="176"/>
      <c r="N400" s="156"/>
      <c r="T400" s="159"/>
      <c r="V400" s="159"/>
      <c r="W400" s="159"/>
      <c r="Y400" s="160"/>
    </row>
    <row r="401" spans="1:25" x14ac:dyDescent="0.2">
      <c r="I401" s="176"/>
      <c r="J401" s="156"/>
      <c r="M401" s="176"/>
      <c r="N401" s="156"/>
      <c r="T401" s="159"/>
      <c r="V401" s="159"/>
      <c r="W401" s="159"/>
      <c r="Y401" s="160"/>
    </row>
    <row r="402" spans="1:25" s="169" customFormat="1" x14ac:dyDescent="0.2">
      <c r="A402" s="161"/>
      <c r="B402" s="162"/>
      <c r="C402" s="163"/>
      <c r="D402" s="163"/>
      <c r="E402" s="162"/>
      <c r="F402" s="162"/>
      <c r="G402" s="163"/>
      <c r="H402" s="164"/>
      <c r="I402" s="176"/>
      <c r="J402" s="165"/>
      <c r="K402" s="166"/>
      <c r="L402" s="166"/>
      <c r="M402" s="176"/>
      <c r="N402" s="156"/>
      <c r="O402" s="167"/>
      <c r="P402" s="167"/>
      <c r="Q402" s="167"/>
      <c r="R402" s="166"/>
      <c r="S402" s="168"/>
      <c r="T402" s="168"/>
      <c r="U402" s="168"/>
      <c r="V402" s="168"/>
      <c r="W402" s="168"/>
      <c r="X402" s="155"/>
      <c r="Y402" s="166"/>
    </row>
    <row r="403" spans="1:25" x14ac:dyDescent="0.2">
      <c r="M403" s="148"/>
      <c r="N403" s="170"/>
      <c r="S403" s="171"/>
      <c r="T403" s="172"/>
      <c r="U403" s="171"/>
      <c r="V403" s="172"/>
      <c r="W403" s="171"/>
    </row>
    <row r="404" spans="1:25" x14ac:dyDescent="0.2">
      <c r="I404" s="176"/>
      <c r="J404" s="153"/>
      <c r="M404" s="176"/>
      <c r="N404" s="156"/>
      <c r="O404" s="152"/>
      <c r="P404" s="152"/>
      <c r="Q404" s="154"/>
      <c r="R404" s="152"/>
      <c r="S404" s="152"/>
      <c r="T404" s="157"/>
      <c r="U404" s="152"/>
      <c r="V404" s="155"/>
      <c r="W404" s="154"/>
      <c r="X404" s="155"/>
      <c r="Y404" s="154"/>
    </row>
    <row r="405" spans="1:25" x14ac:dyDescent="0.2">
      <c r="I405" s="176"/>
      <c r="J405" s="156"/>
      <c r="M405" s="176"/>
      <c r="N405" s="156"/>
      <c r="O405" s="158"/>
      <c r="Q405" s="158"/>
      <c r="S405" s="129"/>
      <c r="U405" s="129"/>
      <c r="V405" s="150"/>
      <c r="Y405" s="160"/>
    </row>
    <row r="406" spans="1:25" x14ac:dyDescent="0.2">
      <c r="I406" s="176"/>
      <c r="J406" s="156"/>
      <c r="M406" s="176"/>
      <c r="N406" s="156"/>
      <c r="O406" s="158"/>
      <c r="Q406" s="158"/>
      <c r="S406" s="129"/>
      <c r="U406" s="129"/>
      <c r="V406" s="150"/>
      <c r="Y406" s="160"/>
    </row>
    <row r="407" spans="1:25" x14ac:dyDescent="0.2">
      <c r="I407" s="176"/>
      <c r="J407" s="156"/>
      <c r="M407" s="176"/>
      <c r="N407" s="156"/>
      <c r="O407" s="158"/>
      <c r="Q407" s="158"/>
      <c r="V407" s="150"/>
      <c r="W407" s="159"/>
      <c r="Y407" s="160"/>
    </row>
    <row r="408" spans="1:25" x14ac:dyDescent="0.2">
      <c r="I408" s="176"/>
      <c r="J408" s="156"/>
      <c r="M408" s="176"/>
      <c r="N408" s="156"/>
      <c r="O408" s="158"/>
      <c r="Q408" s="158"/>
      <c r="V408" s="150"/>
      <c r="W408" s="159"/>
      <c r="Y408" s="160"/>
    </row>
    <row r="409" spans="1:25" s="169" customFormat="1" x14ac:dyDescent="0.2">
      <c r="A409" s="161"/>
      <c r="B409" s="162"/>
      <c r="C409" s="163"/>
      <c r="D409" s="163"/>
      <c r="E409" s="162"/>
      <c r="F409" s="162"/>
      <c r="G409" s="163"/>
      <c r="H409" s="164"/>
      <c r="I409" s="176"/>
      <c r="J409" s="165"/>
      <c r="K409" s="166"/>
      <c r="L409" s="166"/>
      <c r="M409" s="176"/>
      <c r="N409" s="156"/>
      <c r="O409" s="167"/>
      <c r="P409" s="167"/>
      <c r="Q409" s="167"/>
      <c r="R409" s="166"/>
      <c r="S409" s="168"/>
      <c r="T409" s="157"/>
      <c r="U409" s="168"/>
      <c r="V409" s="155"/>
      <c r="W409" s="168"/>
      <c r="X409" s="155"/>
      <c r="Y409" s="166"/>
    </row>
    <row r="410" spans="1:25" x14ac:dyDescent="0.2">
      <c r="S410" s="171"/>
      <c r="U410" s="171"/>
      <c r="W410" s="171"/>
    </row>
    <row r="413" spans="1:25" x14ac:dyDescent="0.2">
      <c r="N413" s="177"/>
      <c r="O413" s="178"/>
      <c r="P413" s="178"/>
      <c r="Q413" s="178"/>
      <c r="R413" s="177"/>
      <c r="S413" s="178"/>
      <c r="T413" s="178"/>
      <c r="U413" s="178"/>
      <c r="V413" s="178"/>
      <c r="W413" s="178"/>
    </row>
    <row r="414" spans="1:25" x14ac:dyDescent="0.2">
      <c r="J414" s="153"/>
      <c r="M414" s="176"/>
      <c r="N414" s="177"/>
      <c r="O414" s="173"/>
      <c r="P414" s="176"/>
      <c r="Q414" s="154"/>
      <c r="R414" s="177"/>
      <c r="S414" s="173"/>
      <c r="T414" s="173"/>
      <c r="U414" s="173"/>
      <c r="V414" s="155"/>
      <c r="W414" s="154"/>
      <c r="X414" s="155"/>
      <c r="Y414" s="164"/>
    </row>
    <row r="415" spans="1:25" x14ac:dyDescent="0.2">
      <c r="I415" s="176"/>
      <c r="J415" s="156"/>
      <c r="M415" s="176"/>
      <c r="N415" s="164"/>
      <c r="O415" s="158"/>
      <c r="P415" s="176"/>
      <c r="Q415" s="176"/>
      <c r="R415" s="164"/>
      <c r="T415" s="159"/>
      <c r="V415" s="159"/>
      <c r="W415" s="159"/>
      <c r="Y415" s="164"/>
    </row>
    <row r="416" spans="1:25" x14ac:dyDescent="0.2">
      <c r="I416" s="176"/>
      <c r="J416" s="156"/>
      <c r="M416" s="176"/>
      <c r="N416" s="164"/>
      <c r="O416" s="158"/>
      <c r="P416" s="176"/>
      <c r="Q416" s="176"/>
      <c r="R416" s="164"/>
      <c r="T416" s="159"/>
      <c r="V416" s="159"/>
      <c r="W416" s="159"/>
      <c r="Y416" s="164"/>
    </row>
    <row r="417" spans="1:25" x14ac:dyDescent="0.2">
      <c r="I417" s="176"/>
      <c r="J417" s="156"/>
      <c r="M417" s="176"/>
      <c r="N417" s="164"/>
      <c r="O417" s="158"/>
      <c r="P417" s="176"/>
      <c r="Q417" s="176"/>
      <c r="R417" s="164"/>
      <c r="T417" s="159"/>
      <c r="V417" s="159"/>
      <c r="W417" s="159"/>
      <c r="Y417" s="164"/>
    </row>
    <row r="418" spans="1:25" x14ac:dyDescent="0.2">
      <c r="I418" s="176"/>
      <c r="J418" s="156"/>
      <c r="M418" s="176"/>
      <c r="N418" s="164"/>
      <c r="O418" s="158"/>
      <c r="P418" s="176"/>
      <c r="Q418" s="176"/>
      <c r="R418" s="164"/>
      <c r="T418" s="159"/>
      <c r="V418" s="159"/>
      <c r="W418" s="159"/>
      <c r="Y418" s="164"/>
    </row>
    <row r="419" spans="1:25" s="169" customFormat="1" x14ac:dyDescent="0.2">
      <c r="A419" s="161"/>
      <c r="B419" s="162"/>
      <c r="C419" s="163"/>
      <c r="D419" s="163"/>
      <c r="E419" s="162"/>
      <c r="F419" s="162"/>
      <c r="G419" s="163"/>
      <c r="H419" s="164"/>
      <c r="I419" s="176"/>
      <c r="J419" s="165"/>
      <c r="K419" s="166"/>
      <c r="L419" s="166"/>
      <c r="M419" s="176"/>
      <c r="N419" s="164"/>
      <c r="O419" s="167"/>
      <c r="P419" s="176"/>
      <c r="Q419" s="176"/>
      <c r="R419" s="164"/>
      <c r="S419" s="168"/>
      <c r="T419" s="168"/>
      <c r="U419" s="168"/>
      <c r="V419" s="168"/>
      <c r="W419" s="168"/>
      <c r="X419" s="155"/>
      <c r="Y419" s="164"/>
    </row>
    <row r="420" spans="1:25" x14ac:dyDescent="0.2">
      <c r="M420" s="148"/>
      <c r="N420" s="174"/>
      <c r="R420" s="174"/>
      <c r="S420" s="171"/>
      <c r="T420" s="171"/>
      <c r="U420" s="171"/>
      <c r="V420" s="171"/>
      <c r="W420" s="171"/>
      <c r="Y420" s="174"/>
    </row>
    <row r="421" spans="1:25" x14ac:dyDescent="0.2">
      <c r="I421" s="176"/>
      <c r="J421" s="153"/>
      <c r="M421" s="176"/>
      <c r="N421" s="164"/>
      <c r="O421" s="152"/>
      <c r="P421" s="176"/>
      <c r="Q421" s="154"/>
      <c r="R421" s="164"/>
      <c r="S421" s="152"/>
      <c r="T421" s="157"/>
      <c r="U421" s="152"/>
      <c r="V421" s="155"/>
      <c r="W421" s="154"/>
      <c r="X421" s="155"/>
      <c r="Y421" s="164"/>
    </row>
    <row r="422" spans="1:25" x14ac:dyDescent="0.2">
      <c r="I422" s="176"/>
      <c r="J422" s="156"/>
      <c r="M422" s="176"/>
      <c r="N422" s="164"/>
      <c r="P422" s="176"/>
      <c r="Q422" s="176"/>
      <c r="R422" s="164"/>
      <c r="S422" s="129"/>
      <c r="T422" s="129"/>
      <c r="U422" s="129"/>
      <c r="V422" s="129"/>
      <c r="Y422" s="164"/>
    </row>
    <row r="423" spans="1:25" x14ac:dyDescent="0.2">
      <c r="I423" s="176"/>
      <c r="J423" s="156"/>
      <c r="M423" s="176"/>
      <c r="N423" s="164"/>
      <c r="P423" s="176"/>
      <c r="Q423" s="176"/>
      <c r="R423" s="164"/>
      <c r="T423" s="159"/>
      <c r="V423" s="159"/>
      <c r="W423" s="159"/>
      <c r="Y423" s="164"/>
    </row>
    <row r="424" spans="1:25" x14ac:dyDescent="0.2">
      <c r="I424" s="176"/>
      <c r="J424" s="156"/>
      <c r="M424" s="176"/>
      <c r="N424" s="164"/>
      <c r="P424" s="176"/>
      <c r="Q424" s="176"/>
      <c r="R424" s="164"/>
      <c r="T424" s="159"/>
      <c r="V424" s="159"/>
      <c r="W424" s="159"/>
      <c r="Y424" s="164"/>
    </row>
    <row r="425" spans="1:25" x14ac:dyDescent="0.2">
      <c r="I425" s="176"/>
      <c r="J425" s="156"/>
      <c r="M425" s="176"/>
      <c r="N425" s="164"/>
      <c r="P425" s="176"/>
      <c r="Q425" s="176"/>
      <c r="R425" s="164"/>
      <c r="T425" s="159"/>
      <c r="V425" s="159"/>
      <c r="W425" s="159"/>
      <c r="Y425" s="164"/>
    </row>
    <row r="426" spans="1:25" x14ac:dyDescent="0.2">
      <c r="I426" s="176"/>
      <c r="J426" s="156"/>
      <c r="M426" s="176"/>
      <c r="N426" s="164"/>
      <c r="P426" s="176"/>
      <c r="Q426" s="176"/>
      <c r="R426" s="164"/>
      <c r="T426" s="159"/>
      <c r="V426" s="159"/>
      <c r="W426" s="159"/>
      <c r="Y426" s="164"/>
    </row>
    <row r="427" spans="1:25" x14ac:dyDescent="0.2">
      <c r="I427" s="176"/>
      <c r="J427" s="156"/>
      <c r="M427" s="176"/>
      <c r="N427" s="164"/>
      <c r="P427" s="176"/>
      <c r="Q427" s="176"/>
      <c r="R427" s="164"/>
      <c r="T427" s="159"/>
      <c r="V427" s="159"/>
      <c r="W427" s="159"/>
      <c r="Y427" s="164"/>
    </row>
    <row r="428" spans="1:25" x14ac:dyDescent="0.2">
      <c r="I428" s="176"/>
      <c r="J428" s="156"/>
      <c r="M428" s="176"/>
      <c r="N428" s="164"/>
      <c r="P428" s="176"/>
      <c r="Q428" s="176"/>
      <c r="R428" s="164"/>
      <c r="T428" s="159"/>
      <c r="V428" s="159"/>
      <c r="W428" s="159"/>
      <c r="Y428" s="164"/>
    </row>
    <row r="429" spans="1:25" x14ac:dyDescent="0.2">
      <c r="I429" s="176"/>
      <c r="J429" s="156"/>
      <c r="M429" s="176"/>
      <c r="N429" s="164"/>
      <c r="P429" s="176"/>
      <c r="Q429" s="176"/>
      <c r="R429" s="164"/>
      <c r="T429" s="159"/>
      <c r="V429" s="159"/>
      <c r="W429" s="159"/>
      <c r="Y429" s="164"/>
    </row>
    <row r="430" spans="1:25" s="169" customFormat="1" x14ac:dyDescent="0.2">
      <c r="A430" s="161"/>
      <c r="B430" s="162"/>
      <c r="C430" s="163"/>
      <c r="D430" s="163"/>
      <c r="E430" s="162"/>
      <c r="F430" s="162"/>
      <c r="G430" s="163"/>
      <c r="H430" s="164"/>
      <c r="I430" s="176"/>
      <c r="J430" s="165"/>
      <c r="K430" s="166"/>
      <c r="L430" s="166"/>
      <c r="M430" s="176"/>
      <c r="N430" s="164"/>
      <c r="O430" s="167"/>
      <c r="P430" s="176"/>
      <c r="Q430" s="176"/>
      <c r="R430" s="164"/>
      <c r="S430" s="168"/>
      <c r="T430" s="168"/>
      <c r="U430" s="168"/>
      <c r="V430" s="168"/>
      <c r="W430" s="168"/>
      <c r="X430" s="155"/>
      <c r="Y430" s="164"/>
    </row>
    <row r="431" spans="1:25" x14ac:dyDescent="0.2">
      <c r="M431" s="148"/>
      <c r="N431" s="174"/>
      <c r="R431" s="174"/>
      <c r="S431" s="171"/>
      <c r="T431" s="171"/>
      <c r="U431" s="171"/>
      <c r="V431" s="171"/>
      <c r="W431" s="171"/>
    </row>
    <row r="432" spans="1:25" x14ac:dyDescent="0.2">
      <c r="I432" s="176"/>
      <c r="J432" s="153"/>
      <c r="M432" s="176"/>
      <c r="N432" s="164"/>
      <c r="O432" s="152"/>
      <c r="P432" s="176"/>
      <c r="Q432" s="154"/>
      <c r="R432" s="164"/>
      <c r="S432" s="152"/>
      <c r="T432" s="157"/>
      <c r="U432" s="152"/>
      <c r="V432" s="155"/>
      <c r="W432" s="154"/>
      <c r="X432" s="155"/>
      <c r="Y432" s="154"/>
    </row>
    <row r="433" spans="1:25" x14ac:dyDescent="0.2">
      <c r="I433" s="176"/>
      <c r="J433" s="156"/>
      <c r="M433" s="176"/>
      <c r="N433" s="164"/>
      <c r="O433" s="158"/>
      <c r="P433" s="176"/>
      <c r="Q433" s="176"/>
      <c r="R433" s="164"/>
      <c r="S433" s="136"/>
      <c r="T433" s="129"/>
      <c r="U433" s="129"/>
      <c r="V433" s="129"/>
      <c r="Y433" s="160"/>
    </row>
    <row r="434" spans="1:25" x14ac:dyDescent="0.2">
      <c r="I434" s="176"/>
      <c r="J434" s="156"/>
      <c r="M434" s="176"/>
      <c r="N434" s="164"/>
      <c r="O434" s="158"/>
      <c r="P434" s="176"/>
      <c r="Q434" s="176"/>
      <c r="R434" s="164"/>
      <c r="T434" s="159"/>
      <c r="V434" s="159"/>
      <c r="W434" s="159"/>
      <c r="Y434" s="160"/>
    </row>
    <row r="435" spans="1:25" x14ac:dyDescent="0.2">
      <c r="I435" s="176"/>
      <c r="J435" s="156"/>
      <c r="M435" s="176"/>
      <c r="N435" s="164"/>
      <c r="O435" s="158"/>
      <c r="P435" s="176"/>
      <c r="Q435" s="176"/>
      <c r="R435" s="164"/>
      <c r="T435" s="159"/>
      <c r="V435" s="159"/>
      <c r="W435" s="159"/>
      <c r="Y435" s="160"/>
    </row>
    <row r="436" spans="1:25" x14ac:dyDescent="0.2">
      <c r="I436" s="176"/>
      <c r="J436" s="156"/>
      <c r="M436" s="176"/>
      <c r="N436" s="164"/>
      <c r="O436" s="158"/>
      <c r="P436" s="176"/>
      <c r="Q436" s="176"/>
      <c r="R436" s="164"/>
      <c r="T436" s="159"/>
      <c r="V436" s="159"/>
      <c r="W436" s="159"/>
      <c r="Y436" s="160"/>
    </row>
    <row r="437" spans="1:25" x14ac:dyDescent="0.2">
      <c r="I437" s="176"/>
      <c r="J437" s="156"/>
      <c r="M437" s="176"/>
      <c r="N437" s="164"/>
      <c r="O437" s="158"/>
      <c r="P437" s="176"/>
      <c r="Q437" s="176"/>
      <c r="R437" s="164"/>
      <c r="T437" s="159"/>
      <c r="V437" s="159"/>
      <c r="W437" s="159"/>
      <c r="Y437" s="160"/>
    </row>
    <row r="438" spans="1:25" x14ac:dyDescent="0.2">
      <c r="I438" s="176"/>
      <c r="J438" s="156"/>
      <c r="M438" s="176"/>
      <c r="N438" s="164"/>
      <c r="O438" s="158"/>
      <c r="P438" s="176"/>
      <c r="Q438" s="176"/>
      <c r="R438" s="164"/>
      <c r="S438" s="175"/>
      <c r="T438" s="175"/>
      <c r="U438" s="175"/>
      <c r="V438" s="175"/>
      <c r="W438" s="175"/>
      <c r="Y438" s="160"/>
    </row>
    <row r="439" spans="1:25" x14ac:dyDescent="0.2">
      <c r="I439" s="176"/>
      <c r="J439" s="156"/>
      <c r="M439" s="176"/>
      <c r="N439" s="164"/>
      <c r="O439" s="158"/>
      <c r="P439" s="176"/>
      <c r="Q439" s="176"/>
      <c r="R439" s="164"/>
      <c r="T439" s="159"/>
      <c r="V439" s="159"/>
      <c r="W439" s="159"/>
      <c r="Y439" s="160"/>
    </row>
    <row r="440" spans="1:25" x14ac:dyDescent="0.2">
      <c r="I440" s="176"/>
      <c r="J440" s="156"/>
      <c r="M440" s="176"/>
      <c r="N440" s="164"/>
      <c r="O440" s="158"/>
      <c r="P440" s="176"/>
      <c r="Q440" s="176"/>
      <c r="R440" s="164"/>
      <c r="T440" s="159"/>
      <c r="V440" s="159"/>
      <c r="W440" s="159"/>
      <c r="Y440" s="160"/>
    </row>
    <row r="441" spans="1:25" s="169" customFormat="1" x14ac:dyDescent="0.2">
      <c r="A441" s="161"/>
      <c r="B441" s="162"/>
      <c r="C441" s="163"/>
      <c r="D441" s="163"/>
      <c r="E441" s="162"/>
      <c r="F441" s="162"/>
      <c r="G441" s="163"/>
      <c r="H441" s="164"/>
      <c r="I441" s="176"/>
      <c r="J441" s="165"/>
      <c r="K441" s="166"/>
      <c r="L441" s="166"/>
      <c r="M441" s="176"/>
      <c r="N441" s="164"/>
      <c r="O441" s="167"/>
      <c r="P441" s="176"/>
      <c r="Q441" s="176"/>
      <c r="R441" s="164"/>
      <c r="S441" s="168"/>
      <c r="T441" s="168"/>
      <c r="U441" s="168"/>
      <c r="V441" s="168"/>
      <c r="W441" s="168"/>
      <c r="X441" s="155"/>
      <c r="Y441" s="166"/>
    </row>
    <row r="442" spans="1:25" x14ac:dyDescent="0.2">
      <c r="S442" s="171"/>
      <c r="T442" s="171"/>
      <c r="U442" s="171"/>
      <c r="V442" s="171"/>
      <c r="W442" s="171"/>
    </row>
  </sheetData>
  <mergeCells count="230">
    <mergeCell ref="A1:X1"/>
    <mergeCell ref="A2:X2"/>
    <mergeCell ref="A3:X3"/>
    <mergeCell ref="A7:X7"/>
    <mergeCell ref="A9:J9"/>
    <mergeCell ref="K9:K10"/>
    <mergeCell ref="L9:M9"/>
    <mergeCell ref="N9:N10"/>
    <mergeCell ref="O9:O10"/>
    <mergeCell ref="P9:Q9"/>
    <mergeCell ref="B13:C13"/>
    <mergeCell ref="F13:J13"/>
    <mergeCell ref="B16:C16"/>
    <mergeCell ref="F16:J16"/>
    <mergeCell ref="B19:C19"/>
    <mergeCell ref="F19:J19"/>
    <mergeCell ref="R9:R10"/>
    <mergeCell ref="S9:X9"/>
    <mergeCell ref="A10:B10"/>
    <mergeCell ref="C10:C11"/>
    <mergeCell ref="D10:D11"/>
    <mergeCell ref="E10:F10"/>
    <mergeCell ref="G10:G11"/>
    <mergeCell ref="H10:I10"/>
    <mergeCell ref="J10:J11"/>
    <mergeCell ref="B47:C47"/>
    <mergeCell ref="F47:J47"/>
    <mergeCell ref="B53:C53"/>
    <mergeCell ref="F53:J53"/>
    <mergeCell ref="B57:C57"/>
    <mergeCell ref="F57:J57"/>
    <mergeCell ref="B27:C27"/>
    <mergeCell ref="F27:J27"/>
    <mergeCell ref="B33:C33"/>
    <mergeCell ref="F33:J33"/>
    <mergeCell ref="B40:C40"/>
    <mergeCell ref="F40:J40"/>
    <mergeCell ref="B72:C72"/>
    <mergeCell ref="F72:J72"/>
    <mergeCell ref="B75:C75"/>
    <mergeCell ref="F75:J75"/>
    <mergeCell ref="B78:C78"/>
    <mergeCell ref="F78:J78"/>
    <mergeCell ref="B61:C61"/>
    <mergeCell ref="F61:J61"/>
    <mergeCell ref="B66:C66"/>
    <mergeCell ref="F66:J66"/>
    <mergeCell ref="B69:C69"/>
    <mergeCell ref="F69:J69"/>
    <mergeCell ref="B92:C92"/>
    <mergeCell ref="F92:J92"/>
    <mergeCell ref="B95:C95"/>
    <mergeCell ref="F95:J95"/>
    <mergeCell ref="B98:C98"/>
    <mergeCell ref="F98:J98"/>
    <mergeCell ref="B81:C81"/>
    <mergeCell ref="F81:J81"/>
    <mergeCell ref="B84:C84"/>
    <mergeCell ref="F84:J84"/>
    <mergeCell ref="B89:C89"/>
    <mergeCell ref="F89:J89"/>
    <mergeCell ref="B115:C115"/>
    <mergeCell ref="F115:J115"/>
    <mergeCell ref="B120:C120"/>
    <mergeCell ref="F120:J120"/>
    <mergeCell ref="B123:C123"/>
    <mergeCell ref="F123:J123"/>
    <mergeCell ref="B101:C101"/>
    <mergeCell ref="F101:J101"/>
    <mergeCell ref="B104:C104"/>
    <mergeCell ref="F104:J104"/>
    <mergeCell ref="A106:J106"/>
    <mergeCell ref="B108:C108"/>
    <mergeCell ref="F108:J108"/>
    <mergeCell ref="B139:C139"/>
    <mergeCell ref="F139:J139"/>
    <mergeCell ref="B144:C144"/>
    <mergeCell ref="F144:J144"/>
    <mergeCell ref="B149:C149"/>
    <mergeCell ref="F149:J149"/>
    <mergeCell ref="B128:C128"/>
    <mergeCell ref="F128:J128"/>
    <mergeCell ref="B132:C132"/>
    <mergeCell ref="F132:J132"/>
    <mergeCell ref="B136:C136"/>
    <mergeCell ref="F136:J136"/>
    <mergeCell ref="B172:C172"/>
    <mergeCell ref="F172:J172"/>
    <mergeCell ref="B182:C182"/>
    <mergeCell ref="F182:J182"/>
    <mergeCell ref="B187:C187"/>
    <mergeCell ref="F187:J187"/>
    <mergeCell ref="B152:C152"/>
    <mergeCell ref="F152:J152"/>
    <mergeCell ref="B159:C159"/>
    <mergeCell ref="F159:J159"/>
    <mergeCell ref="B164:C164"/>
    <mergeCell ref="F164:J164"/>
    <mergeCell ref="B208:C208"/>
    <mergeCell ref="F208:J208"/>
    <mergeCell ref="B215:C215"/>
    <mergeCell ref="F215:J215"/>
    <mergeCell ref="B222:C222"/>
    <mergeCell ref="F222:J222"/>
    <mergeCell ref="B192:C192"/>
    <mergeCell ref="F192:J192"/>
    <mergeCell ref="B198:C198"/>
    <mergeCell ref="F198:J198"/>
    <mergeCell ref="B202:C202"/>
    <mergeCell ref="F202:J202"/>
    <mergeCell ref="B241:C241"/>
    <mergeCell ref="F241:J241"/>
    <mergeCell ref="B248:C248"/>
    <mergeCell ref="F248:J248"/>
    <mergeCell ref="B252:C252"/>
    <mergeCell ref="F252:J252"/>
    <mergeCell ref="B229:C229"/>
    <mergeCell ref="F229:J229"/>
    <mergeCell ref="B232:C232"/>
    <mergeCell ref="F232:J232"/>
    <mergeCell ref="B236:C236"/>
    <mergeCell ref="F236:J236"/>
    <mergeCell ref="B274:C274"/>
    <mergeCell ref="F274:J274"/>
    <mergeCell ref="B277:C277"/>
    <mergeCell ref="F277:J277"/>
    <mergeCell ref="B282:C282"/>
    <mergeCell ref="F282:J282"/>
    <mergeCell ref="B256:C256"/>
    <mergeCell ref="F256:J256"/>
    <mergeCell ref="B260:C260"/>
    <mergeCell ref="F260:J260"/>
    <mergeCell ref="B266:C266"/>
    <mergeCell ref="F266:J266"/>
    <mergeCell ref="B307:C307"/>
    <mergeCell ref="F307:J307"/>
    <mergeCell ref="B315:C315"/>
    <mergeCell ref="F315:J315"/>
    <mergeCell ref="B319:C319"/>
    <mergeCell ref="F319:J319"/>
    <mergeCell ref="B285:C285"/>
    <mergeCell ref="F285:J285"/>
    <mergeCell ref="B289:C289"/>
    <mergeCell ref="F289:J289"/>
    <mergeCell ref="B300:C300"/>
    <mergeCell ref="F300:J300"/>
    <mergeCell ref="B336:C336"/>
    <mergeCell ref="F336:J336"/>
    <mergeCell ref="B341:C341"/>
    <mergeCell ref="F341:J341"/>
    <mergeCell ref="B344:C344"/>
    <mergeCell ref="F344:J344"/>
    <mergeCell ref="B322:C322"/>
    <mergeCell ref="F322:J322"/>
    <mergeCell ref="B325:C325"/>
    <mergeCell ref="F325:J325"/>
    <mergeCell ref="B330:C330"/>
    <mergeCell ref="F330:J330"/>
    <mergeCell ref="B361:C361"/>
    <mergeCell ref="F361:J361"/>
    <mergeCell ref="B365:C365"/>
    <mergeCell ref="F365:J365"/>
    <mergeCell ref="B368:C368"/>
    <mergeCell ref="F368:J368"/>
    <mergeCell ref="B348:C348"/>
    <mergeCell ref="F348:J348"/>
    <mergeCell ref="B352:C352"/>
    <mergeCell ref="F352:J352"/>
    <mergeCell ref="B356:C356"/>
    <mergeCell ref="F356:J356"/>
    <mergeCell ref="A370:J370"/>
    <mergeCell ref="A372:J372"/>
    <mergeCell ref="A374:X374"/>
    <mergeCell ref="A375:X375"/>
    <mergeCell ref="A376:X376"/>
    <mergeCell ref="B377:C377"/>
    <mergeCell ref="E377:F377"/>
    <mergeCell ref="G377:H377"/>
    <mergeCell ref="I377:K377"/>
    <mergeCell ref="M377:O377"/>
    <mergeCell ref="A379:X379"/>
    <mergeCell ref="C380:E380"/>
    <mergeCell ref="F380:H380"/>
    <mergeCell ref="A381:X381"/>
    <mergeCell ref="C382:E382"/>
    <mergeCell ref="F382:H382"/>
    <mergeCell ref="J382:L382"/>
    <mergeCell ref="N382:P382"/>
    <mergeCell ref="Q377:T377"/>
    <mergeCell ref="B378:C378"/>
    <mergeCell ref="E378:F378"/>
    <mergeCell ref="G378:H378"/>
    <mergeCell ref="I378:K378"/>
    <mergeCell ref="M378:O378"/>
    <mergeCell ref="Q378:T378"/>
    <mergeCell ref="A386:F386"/>
    <mergeCell ref="G386:M386"/>
    <mergeCell ref="A387:X387"/>
    <mergeCell ref="N390:N392"/>
    <mergeCell ref="O390:Q390"/>
    <mergeCell ref="S390:W390"/>
    <mergeCell ref="M392:M396"/>
    <mergeCell ref="I393:I396"/>
    <mergeCell ref="A383:X383"/>
    <mergeCell ref="A384:F384"/>
    <mergeCell ref="G384:M384"/>
    <mergeCell ref="N384:S384"/>
    <mergeCell ref="A385:F385"/>
    <mergeCell ref="G385:M385"/>
    <mergeCell ref="N385:S385"/>
    <mergeCell ref="S413:W413"/>
    <mergeCell ref="M414:M419"/>
    <mergeCell ref="P414:P419"/>
    <mergeCell ref="I415:I419"/>
    <mergeCell ref="Q415:Q419"/>
    <mergeCell ref="I398:I402"/>
    <mergeCell ref="M398:M402"/>
    <mergeCell ref="I404:I409"/>
    <mergeCell ref="M404:M409"/>
    <mergeCell ref="N413:N414"/>
    <mergeCell ref="O413:Q413"/>
    <mergeCell ref="I421:I430"/>
    <mergeCell ref="M421:M430"/>
    <mergeCell ref="P421:P430"/>
    <mergeCell ref="Q422:Q430"/>
    <mergeCell ref="I432:I441"/>
    <mergeCell ref="M432:M441"/>
    <mergeCell ref="P432:P441"/>
    <mergeCell ref="Q433:Q441"/>
    <mergeCell ref="R413:R414"/>
  </mergeCells>
  <printOptions horizontalCentered="1"/>
  <pageMargins left="0.19685039370078741" right="0.19685039370078741" top="0.31496062992125984" bottom="0.31496062992125984" header="0.15748031496062992" footer="0.15748031496062992"/>
  <pageSetup paperSize="9" scale="48" orientation="landscape" r:id="rId1"/>
  <headerFooter alignWithMargins="0"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FDB0DC5802064F9F397F5BB6967557" ma:contentTypeVersion="8" ma:contentTypeDescription="Crie um novo documento." ma:contentTypeScope="" ma:versionID="cb9a9f915cc83becefc22fe6a83d3778">
  <xsd:schema xmlns:xsd="http://www.w3.org/2001/XMLSchema" xmlns:xs="http://www.w3.org/2001/XMLSchema" xmlns:p="http://schemas.microsoft.com/office/2006/metadata/properties" xmlns:ns2="bf0a519a-f0d7-4b7f-ba2f-cdea6954352d" targetNamespace="http://schemas.microsoft.com/office/2006/metadata/properties" ma:root="true" ma:fieldsID="9da8069797ee8f59d591614c28019ef0" ns2:_="">
    <xsd:import namespace="bf0a519a-f0d7-4b7f-ba2f-cdea695435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a519a-f0d7-4b7f-ba2f-cdea695435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DB71E8-FAE1-49BF-91D5-0FD0ABEE91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8EB862-F5F0-41CA-B633-0F82D27AD2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59C6C9-5F76-4605-8232-C324EB093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0a519a-f0d7-4b7f-ba2f-cdea695435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Novembro 2019</vt:lpstr>
      <vt:lpstr>'Novembro 2019'!Area_de_impressao</vt:lpstr>
      <vt:lpstr>'Novembro 2019'!Titulos_de_impressao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2019-12-19T17:20:22Z</dcterms:created>
  <dcterms:modified xsi:type="dcterms:W3CDTF">2019-12-19T17:40:07Z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0x0101008FFDB0DC5802064F9F397F5BB6967557</vt:lpwstr>
  </property>
</Properties>
</file>